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5076" windowWidth="14544" windowHeight="9204" activeTab="0"/>
  </bookViews>
  <sheets>
    <sheet name="Reductions" sheetId="1" r:id="rId1"/>
    <sheet name="Baselines" sheetId="2" r:id="rId2"/>
  </sheets>
  <definedNames/>
  <calcPr fullCalcOnLoad="1"/>
</workbook>
</file>

<file path=xl/sharedStrings.xml><?xml version="1.0" encoding="utf-8"?>
<sst xmlns="http://schemas.openxmlformats.org/spreadsheetml/2006/main" count="140" uniqueCount="120">
  <si>
    <t>Gasoline</t>
  </si>
  <si>
    <t>Gasoline Supplied to United States, 2006, barrels per day</t>
  </si>
  <si>
    <t>U.S. Energy Information Administration, http://tonto.eia.doe.gov/merquery/mer_data.asp?table=T03.04</t>
  </si>
  <si>
    <t>Gallons per barrel</t>
  </si>
  <si>
    <t>http://www.census.gov/population/socdemo/hh-fam/cps2005/tabAVG1.csv</t>
  </si>
  <si>
    <t>Number of U.S. Households, 2005</t>
  </si>
  <si>
    <t>Days per year</t>
  </si>
  <si>
    <t>Gallons per household per year</t>
  </si>
  <si>
    <t>Electricity</t>
  </si>
  <si>
    <t>http://www.eia.doe.gov/emeu/mer/elect.html (Table 7.6)</t>
  </si>
  <si>
    <t>Electricity Consumption per household per year, kWh</t>
  </si>
  <si>
    <t>Gallons, rounded</t>
  </si>
  <si>
    <t>Kilowatt-hours, rounded</t>
  </si>
  <si>
    <t>CO2 per gallon (pounds)</t>
  </si>
  <si>
    <t>(easily derivable from standard references on lb carbon per million btu of gasoline and number of btu per barrel</t>
  </si>
  <si>
    <t>Average annual household CO2 from gasoline, tons</t>
  </si>
  <si>
    <t>Average annual household CO2 from electricity, tons</t>
  </si>
  <si>
    <t>Typical energy use for space heating, btu per degree days per sq ft</t>
  </si>
  <si>
    <t>Average degree days for U.S. space heating</t>
  </si>
  <si>
    <t>Average square feet, U.S. residences</t>
  </si>
  <si>
    <t>Energy for space heating, typical U.S. residence, million btu/yr</t>
  </si>
  <si>
    <t>CO2 per million btu, natural gas, pounds</t>
  </si>
  <si>
    <t>CO2 per million btu, fuel oil, pounds</t>
  </si>
  <si>
    <t>C from fuel oil (million metric tons per quadrillion Btu)</t>
  </si>
  <si>
    <t>Natural gas share of home heating market</t>
  </si>
  <si>
    <t>Fuel oil share of home heating market</t>
  </si>
  <si>
    <t>Shares are Komanoff rough estimates; ignore electric heat</t>
  </si>
  <si>
    <t>CO2 per million btu, residential heating average, pounds</t>
  </si>
  <si>
    <t>Average annual household CO2 from space heating, tons</t>
  </si>
  <si>
    <t>Komanoff rough estimate</t>
  </si>
  <si>
    <t>Komanoff rough estimate, pivoting off NYC which equals 4,750.</t>
  </si>
  <si>
    <t>US DOE, "Buildings Energy Data Book" (Sept. 2006), http://buildingsdatabook.eren.doe.gov/docs/1.2.3.pdf</t>
  </si>
  <si>
    <t>Commuting</t>
  </si>
  <si>
    <t>Recreational Vehicles</t>
  </si>
  <si>
    <t>How</t>
  </si>
  <si>
    <t>Percent</t>
  </si>
  <si>
    <t>of Sector</t>
  </si>
  <si>
    <t>Reduction</t>
  </si>
  <si>
    <t>Sector</t>
  </si>
  <si>
    <t>Remaining Usage</t>
  </si>
  <si>
    <t>Reduction in gallons per mile</t>
  </si>
  <si>
    <t>such as super-fast highway speeds, frequent acceleration, use of A/C</t>
  </si>
  <si>
    <t>Heating (space + water)</t>
  </si>
  <si>
    <t>Reduction of this sector's carbon</t>
  </si>
  <si>
    <t>This sector's original share of HH carbon</t>
  </si>
  <si>
    <t>Reduction in total HH carbon from this sector</t>
  </si>
  <si>
    <t>Reduce thermostat 3 deg F</t>
  </si>
  <si>
    <t>Space Heating</t>
  </si>
  <si>
    <t>Water Heating</t>
  </si>
  <si>
    <t>Typical HH Water Heating fuel use as a percent of Space Heating</t>
  </si>
  <si>
    <t>Average annual household CO2 from water heating, tons</t>
  </si>
  <si>
    <t>Total for Gasoline, Electricity, Space Heating, Water Heating</t>
  </si>
  <si>
    <t>Caulking, weather-stripping, leak-sealing, storm windows</t>
  </si>
  <si>
    <t>Less travel (redefine pleasure, shift activities and destinations), transit/carpool where available</t>
  </si>
  <si>
    <t>Choose more-efficient family vehicle when possible; reduce high-carbon driving behaviors</t>
  </si>
  <si>
    <r>
      <t xml:space="preserve">(% at left is calc'd by multiplying % reduxn above by </t>
    </r>
    <r>
      <rPr>
        <u val="single"/>
        <sz val="8"/>
        <rFont val="Arial"/>
        <family val="0"/>
      </rPr>
      <t>remaining usage</t>
    </r>
    <r>
      <rPr>
        <sz val="8"/>
        <rFont val="Arial"/>
        <family val="0"/>
      </rPr>
      <t>, to avoid double-counting)</t>
    </r>
  </si>
  <si>
    <t>Reduction #1 (due to reduced usage)</t>
  </si>
  <si>
    <t>Reduction #2 (due to reduced gal/mile)</t>
  </si>
  <si>
    <t>(% at left is calc'd by summing the %'s from Reductions #1 and #2)</t>
  </si>
  <si>
    <t>1x/week car-pooling or transit (includes bike/walk)</t>
  </si>
  <si>
    <t>(% at left is calc'd by summing the %'s in three prior rows)</t>
  </si>
  <si>
    <t>(% at left is an intermediate figure, used to calcualte impact of reducing thermostat)</t>
  </si>
  <si>
    <t>Reduction #1: Quick insulation upgrade</t>
  </si>
  <si>
    <t>Reduction #2 (due to reduced thermostat)</t>
  </si>
  <si>
    <t>Change out conventional for water-shaving shower-heads; more mindful use</t>
  </si>
  <si>
    <t>More mindful use</t>
  </si>
  <si>
    <t>(% at left is calc'd by summing the %'s for three reductions)</t>
  </si>
  <si>
    <t>Replace incandescents + halogens w/ CFL's; turn off unused lights</t>
  </si>
  <si>
    <t>Raise thermostat 3 deg F; install/increase use of fans; employ window shades</t>
  </si>
  <si>
    <t>1/2 of HH's replace old fridge (% shown reflects 50% participation); more mindful use</t>
  </si>
  <si>
    <t>1/2 of HH's use clothesline for one-third of loads (% shown reflects 50% participation)</t>
  </si>
  <si>
    <t>Lighting</t>
  </si>
  <si>
    <t>Air-conditioning</t>
  </si>
  <si>
    <t>Refrigeration</t>
  </si>
  <si>
    <t>Clothes drying</t>
  </si>
  <si>
    <t>Electronics (incl. re-charging)</t>
  </si>
  <si>
    <t>Put all computers, chargers, modems etc. on power-strips and turn off when unused</t>
  </si>
  <si>
    <t>Television</t>
  </si>
  <si>
    <t>Other</t>
  </si>
  <si>
    <t>Power strips, mindful usage, etc.</t>
  </si>
  <si>
    <t>Bathing</t>
  </si>
  <si>
    <t>Washing clothes + dishes</t>
  </si>
  <si>
    <t>Other water heating</t>
  </si>
  <si>
    <t>Activity's</t>
  </si>
  <si>
    <t>in Activity</t>
  </si>
  <si>
    <t>in this</t>
  </si>
  <si>
    <t>in entire</t>
  </si>
  <si>
    <t>HH carbon</t>
  </si>
  <si>
    <t>Ranking</t>
  </si>
  <si>
    <t>All Other Driving</t>
  </si>
  <si>
    <t>Baselines</t>
  </si>
  <si>
    <t>This worksheet estimates CO2 emissions for a typical U.S. household, for the four main</t>
  </si>
  <si>
    <t>components of household energy use: gasoline, electricity, space heating, water heating.</t>
  </si>
  <si>
    <t>of total</t>
  </si>
  <si>
    <t>U.S. Residential Electricity Sales, gigawatt-hours, 2005</t>
  </si>
  <si>
    <r>
      <t xml:space="preserve">(derived in Carbon Tax Center </t>
    </r>
    <r>
      <rPr>
        <u val="single"/>
        <sz val="8"/>
        <rFont val="Arial"/>
        <family val="2"/>
      </rPr>
      <t>spreadsheet</t>
    </r>
    <r>
      <rPr>
        <sz val="8"/>
        <rFont val="Arial"/>
        <family val="2"/>
      </rPr>
      <t xml:space="preserve"> downloadable here: http://www.carbontax.org/issues/energy-demand-how-sensitive-to-price/; see </t>
    </r>
    <r>
      <rPr>
        <b/>
        <sz val="8"/>
        <rFont val="Arial"/>
        <family val="2"/>
      </rPr>
      <t>Electricity</t>
    </r>
    <r>
      <rPr>
        <sz val="8"/>
        <rFont val="Arial"/>
        <family val="2"/>
      </rPr>
      <t xml:space="preserve"> worksheet)</t>
    </r>
  </si>
  <si>
    <t>DOE, Emissions of Greenhouse Gases in the United States, http://www.eia.doe.gov/oiaf/1605/87-92rpt/appa.html</t>
  </si>
  <si>
    <t>Both items above are from DOE report just cited.</t>
  </si>
  <si>
    <t>CO2 per kilowatt-hour (pounds), U.S. average (reflecting all fuels)</t>
  </si>
  <si>
    <t>Reductions</t>
  </si>
  <si>
    <t>This spreadsheet was created by Charles Komanoff on 30-April-2007.</t>
  </si>
  <si>
    <t>It estimates CO2 emissions from the four major household activity sectors (see next worksheet,</t>
  </si>
  <si>
    <r>
      <t>Baselines</t>
    </r>
    <r>
      <rPr>
        <sz val="9"/>
        <rFont val="Arial"/>
        <family val="2"/>
      </rPr>
      <t>) and calculates the reductions from sixteen different conservation/efficiency measures</t>
    </r>
  </si>
  <si>
    <t>(in this worksheet).</t>
  </si>
  <si>
    <t>Assumed</t>
  </si>
  <si>
    <t>Resulting</t>
  </si>
  <si>
    <t>among</t>
  </si>
  <si>
    <t>Measures</t>
  </si>
  <si>
    <t>Reduce usage by one-half (big "co-benefits" -- exercise instead, give nature a break)</t>
  </si>
  <si>
    <t>(% at left is an intermediate figure, used to calcualte impact of reducing gallons/mile, next)</t>
  </si>
  <si>
    <r>
      <t xml:space="preserve">Gasoline </t>
    </r>
    <r>
      <rPr>
        <sz val="8"/>
        <rFont val="Arial"/>
        <family val="2"/>
      </rPr>
      <t>(Note: Only 30% of U.S. personal driving is for commuting -- a finding established in the Nationwide Personal Transportation Studies.)</t>
    </r>
  </si>
  <si>
    <r>
      <t xml:space="preserve">Electricity </t>
    </r>
    <r>
      <rPr>
        <sz val="8"/>
        <rFont val="Arial"/>
        <family val="2"/>
      </rPr>
      <t xml:space="preserve">(Note: Percentages in first data column are Komanoff estimates drawn in part from DOE, </t>
    </r>
    <r>
      <rPr>
        <i/>
        <sz val="8"/>
        <rFont val="Arial"/>
        <family val="2"/>
      </rPr>
      <t>Buildings Energy Data Book</t>
    </r>
    <r>
      <rPr>
        <sz val="8"/>
        <rFont val="Arial"/>
        <family val="2"/>
      </rPr>
      <t>, http://buildingsdatabook.eren.doe.gov/docs/1.2.3.pdf)</t>
    </r>
  </si>
  <si>
    <t>Reduce usage by one-half (big "co-benefits" from curbing TV habit)</t>
  </si>
  <si>
    <r>
      <t xml:space="preserve">(Komanoff estimate from </t>
    </r>
    <r>
      <rPr>
        <i/>
        <sz val="8"/>
        <rFont val="Arial"/>
        <family val="2"/>
      </rPr>
      <t>Ending The Oil Age</t>
    </r>
    <r>
      <rPr>
        <sz val="8"/>
        <rFont val="Arial"/>
        <family val="2"/>
      </rPr>
      <t>, http://www.rightofway.org/research/oilage.html)</t>
    </r>
  </si>
  <si>
    <r>
      <t xml:space="preserve">Heating (water) </t>
    </r>
    <r>
      <rPr>
        <sz val="8"/>
        <rFont val="Arial"/>
        <family val="2"/>
      </rPr>
      <t>(Note: Percentages in first data column are Komanoff rough estimates)</t>
    </r>
  </si>
  <si>
    <t>Total reductions (from all measures, or from all but top 5)</t>
  </si>
  <si>
    <t>Purpose is to back up my statement in Andy Revkin's 29-April NYT Week in Review story on</t>
  </si>
  <si>
    <t xml:space="preserve">carbon offsets, that non-poverty U.S. households could easily and cost-effectively eliminate 25% of </t>
  </si>
  <si>
    <t>their CO2 emissions within six months.</t>
  </si>
  <si>
    <t>C. Komanoff / Carbon Tax Center / www.carbontax.org / kea@igc.org / 212 260 5237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</si>
</sst>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(* #,##0.0_);_(* \(#,##0.0\);_(* &quot;-&quot;?_);_(@_)"/>
    <numFmt numFmtId="174" formatCode="0.0%"/>
    <numFmt numFmtId="175" formatCode="0.00000%"/>
    <numFmt numFmtId="176" formatCode="0.0000000000000000%"/>
    <numFmt numFmtId="177" formatCode="0.000000000000000%"/>
  </numFmts>
  <fonts count="8"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u val="single"/>
      <sz val="9"/>
      <color indexed="12"/>
      <name val="Arial"/>
      <family val="0"/>
    </font>
    <font>
      <u val="single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15" applyNumberFormat="1" applyAlignment="1">
      <alignment/>
    </xf>
    <xf numFmtId="165" fontId="0" fillId="0" borderId="0" xfId="15" applyNumberFormat="1" applyAlignment="1">
      <alignment/>
    </xf>
    <xf numFmtId="0" fontId="2" fillId="0" borderId="0" xfId="0" applyFont="1" applyAlignment="1">
      <alignment/>
    </xf>
    <xf numFmtId="43" fontId="0" fillId="0" borderId="0" xfId="15" applyNumberFormat="1" applyAlignment="1">
      <alignment/>
    </xf>
    <xf numFmtId="166" fontId="0" fillId="0" borderId="0" xfId="0" applyNumberFormat="1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9" fontId="0" fillId="0" borderId="0" xfId="20" applyAlignment="1">
      <alignment/>
    </xf>
    <xf numFmtId="174" fontId="0" fillId="0" borderId="0" xfId="0" applyNumberFormat="1" applyAlignment="1">
      <alignment/>
    </xf>
    <xf numFmtId="9" fontId="0" fillId="0" borderId="0" xfId="20" applyNumberFormat="1" applyAlignment="1">
      <alignment/>
    </xf>
    <xf numFmtId="0" fontId="5" fillId="0" borderId="0" xfId="0" applyFont="1" applyAlignment="1">
      <alignment/>
    </xf>
    <xf numFmtId="17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emeu/mer/elect.html%20(Table%207.6)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">
      <selection activeCell="H24" sqref="H24"/>
    </sheetView>
  </sheetViews>
  <sheetFormatPr defaultColWidth="9.140625" defaultRowHeight="12"/>
  <cols>
    <col min="7" max="8" width="9.140625" style="0" customWidth="1"/>
    <col min="9" max="9" width="9.140625" style="17" customWidth="1"/>
    <col min="10" max="10" width="1.28515625" style="0" customWidth="1"/>
  </cols>
  <sheetData>
    <row r="1" ht="12.75">
      <c r="A1" s="19" t="s">
        <v>99</v>
      </c>
    </row>
    <row r="3" ht="11.25">
      <c r="A3" t="s">
        <v>100</v>
      </c>
    </row>
    <row r="5" ht="11.25">
      <c r="A5" t="s">
        <v>101</v>
      </c>
    </row>
    <row r="6" ht="12">
      <c r="A6" s="1" t="s">
        <v>102</v>
      </c>
    </row>
    <row r="7" ht="11.25">
      <c r="A7" t="s">
        <v>103</v>
      </c>
    </row>
    <row r="9" ht="11.25">
      <c r="A9" t="s">
        <v>116</v>
      </c>
    </row>
    <row r="10" ht="11.25">
      <c r="A10" t="s">
        <v>117</v>
      </c>
    </row>
    <row r="11" ht="11.25">
      <c r="A11" t="s">
        <v>118</v>
      </c>
    </row>
    <row r="13" ht="11.25">
      <c r="A13" s="12" t="s">
        <v>119</v>
      </c>
    </row>
    <row r="15" spans="7:8" ht="11.25">
      <c r="G15" s="15" t="s">
        <v>105</v>
      </c>
      <c r="H15" s="15" t="s">
        <v>105</v>
      </c>
    </row>
    <row r="16" spans="5:9" ht="11.25">
      <c r="E16" s="15" t="s">
        <v>83</v>
      </c>
      <c r="F16" s="15" t="s">
        <v>104</v>
      </c>
      <c r="G16" s="15" t="s">
        <v>37</v>
      </c>
      <c r="H16" s="15" t="s">
        <v>37</v>
      </c>
      <c r="I16" s="16" t="s">
        <v>88</v>
      </c>
    </row>
    <row r="17" spans="5:11" ht="11.25">
      <c r="E17" s="15" t="s">
        <v>35</v>
      </c>
      <c r="F17" s="15" t="s">
        <v>37</v>
      </c>
      <c r="G17" s="15" t="s">
        <v>85</v>
      </c>
      <c r="H17" s="15" t="s">
        <v>86</v>
      </c>
      <c r="I17" s="16" t="s">
        <v>106</v>
      </c>
      <c r="K17" s="12"/>
    </row>
    <row r="18" spans="5:11" ht="11.25">
      <c r="E18" s="15" t="s">
        <v>36</v>
      </c>
      <c r="F18" s="15" t="s">
        <v>84</v>
      </c>
      <c r="G18" s="15" t="s">
        <v>38</v>
      </c>
      <c r="H18" s="15" t="s">
        <v>87</v>
      </c>
      <c r="I18" s="16" t="s">
        <v>107</v>
      </c>
      <c r="K18" s="12" t="s">
        <v>34</v>
      </c>
    </row>
    <row r="20" ht="12">
      <c r="A20" s="1" t="s">
        <v>110</v>
      </c>
    </row>
    <row r="21" spans="1:11" ht="11.25">
      <c r="A21" t="s">
        <v>32</v>
      </c>
      <c r="E21" s="7">
        <v>0.3</v>
      </c>
      <c r="F21" s="7">
        <v>0.2</v>
      </c>
      <c r="G21" s="10">
        <f>E21*F21</f>
        <v>0.06</v>
      </c>
      <c r="H21" s="10">
        <f>G21*$G$30</f>
        <v>0.022209543889681195</v>
      </c>
      <c r="I21" s="17">
        <v>4</v>
      </c>
      <c r="K21" t="s">
        <v>59</v>
      </c>
    </row>
    <row r="22" spans="1:11" ht="11.25">
      <c r="A22" t="s">
        <v>33</v>
      </c>
      <c r="E22" s="7">
        <v>0.02</v>
      </c>
      <c r="F22" s="7">
        <v>0.5</v>
      </c>
      <c r="G22" s="10">
        <f>E22*F22</f>
        <v>0.01</v>
      </c>
      <c r="H22" s="10">
        <f>G22*$G$30</f>
        <v>0.0037015906482801993</v>
      </c>
      <c r="I22" s="17">
        <v>15</v>
      </c>
      <c r="K22" t="s">
        <v>108</v>
      </c>
    </row>
    <row r="23" spans="1:11" ht="11.25">
      <c r="A23" t="s">
        <v>89</v>
      </c>
      <c r="E23" s="7">
        <f>1-E21-E22</f>
        <v>0.6799999999999999</v>
      </c>
      <c r="F23" s="7">
        <v>0.25</v>
      </c>
      <c r="G23" s="10">
        <f>E23*F23</f>
        <v>0.16999999999999998</v>
      </c>
      <c r="H23" s="10">
        <f>G23*$G$30</f>
        <v>0.06292704102076338</v>
      </c>
      <c r="I23" s="17">
        <v>1</v>
      </c>
      <c r="K23" t="s">
        <v>53</v>
      </c>
    </row>
    <row r="24" spans="1:11" ht="11.25">
      <c r="A24" t="s">
        <v>56</v>
      </c>
      <c r="G24" s="10">
        <f>SUM(G21:G23)</f>
        <v>0.24</v>
      </c>
      <c r="H24" s="10"/>
      <c r="K24" s="4" t="s">
        <v>60</v>
      </c>
    </row>
    <row r="25" spans="1:11" ht="11.25">
      <c r="A25" t="s">
        <v>39</v>
      </c>
      <c r="G25" s="10">
        <f>1-G24</f>
        <v>0.76</v>
      </c>
      <c r="H25" s="10"/>
      <c r="K25" s="4" t="s">
        <v>109</v>
      </c>
    </row>
    <row r="26" spans="1:11" ht="11.25">
      <c r="A26" t="s">
        <v>40</v>
      </c>
      <c r="G26" s="7">
        <v>0.05</v>
      </c>
      <c r="H26" s="7"/>
      <c r="I26"/>
      <c r="K26" t="s">
        <v>54</v>
      </c>
    </row>
    <row r="27" spans="9:11" ht="11.25">
      <c r="I27"/>
      <c r="K27" t="s">
        <v>41</v>
      </c>
    </row>
    <row r="28" spans="1:11" ht="11.25">
      <c r="A28" t="s">
        <v>57</v>
      </c>
      <c r="G28" s="10">
        <f>G25*G26</f>
        <v>0.038000000000000006</v>
      </c>
      <c r="H28" s="10">
        <f>G28*$G$30</f>
        <v>0.01406604446346476</v>
      </c>
      <c r="I28">
        <v>6</v>
      </c>
      <c r="K28" s="4" t="s">
        <v>55</v>
      </c>
    </row>
    <row r="29" spans="1:11" ht="11.25">
      <c r="A29" t="s">
        <v>43</v>
      </c>
      <c r="G29" s="10">
        <f>G24+G28</f>
        <v>0.278</v>
      </c>
      <c r="H29" s="10"/>
      <c r="K29" s="4" t="s">
        <v>58</v>
      </c>
    </row>
    <row r="30" spans="1:8" ht="11.25">
      <c r="A30" t="s">
        <v>44</v>
      </c>
      <c r="G30" s="10">
        <f>Baselines!I18</f>
        <v>0.3701590648280199</v>
      </c>
      <c r="H30" s="10"/>
    </row>
    <row r="31" spans="1:9" s="1" customFormat="1" ht="12">
      <c r="A31" s="1" t="s">
        <v>45</v>
      </c>
      <c r="G31" s="13"/>
      <c r="H31" s="13">
        <f>SUM(H21:H28)</f>
        <v>0.10290422002218955</v>
      </c>
      <c r="I31" s="18"/>
    </row>
    <row r="33" ht="12">
      <c r="A33" s="1" t="s">
        <v>111</v>
      </c>
    </row>
    <row r="34" spans="1:11" ht="11.25">
      <c r="A34" t="s">
        <v>71</v>
      </c>
      <c r="E34" s="10">
        <f aca="true" t="shared" si="0" ref="E34:E40">J34/$J$41</f>
        <v>0.2608695652173913</v>
      </c>
      <c r="F34" s="10">
        <f>2/3</f>
        <v>0.6666666666666666</v>
      </c>
      <c r="G34" s="10">
        <f aca="true" t="shared" si="1" ref="G34:G40">E34*F34</f>
        <v>0.17391304347826086</v>
      </c>
      <c r="H34" s="10">
        <f aca="true" t="shared" si="2" ref="H34:H40">G34*$G$42</f>
        <v>0.045383276109061274</v>
      </c>
      <c r="I34" s="17">
        <v>2</v>
      </c>
      <c r="J34">
        <v>12</v>
      </c>
      <c r="K34" t="s">
        <v>67</v>
      </c>
    </row>
    <row r="35" spans="1:11" ht="11.25">
      <c r="A35" t="s">
        <v>72</v>
      </c>
      <c r="E35" s="10">
        <f t="shared" si="0"/>
        <v>0.2391304347826087</v>
      </c>
      <c r="F35" s="10">
        <v>0.2</v>
      </c>
      <c r="G35" s="10">
        <f t="shared" si="1"/>
        <v>0.04782608695652174</v>
      </c>
      <c r="H35" s="10">
        <f t="shared" si="2"/>
        <v>0.012480400929991852</v>
      </c>
      <c r="I35" s="17">
        <v>7</v>
      </c>
      <c r="J35">
        <v>11</v>
      </c>
      <c r="K35" t="s">
        <v>68</v>
      </c>
    </row>
    <row r="36" spans="1:11" ht="11.25">
      <c r="A36" t="s">
        <v>73</v>
      </c>
      <c r="E36" s="10">
        <f t="shared" si="0"/>
        <v>0.17391304347826086</v>
      </c>
      <c r="F36" s="10">
        <f>50%*40%+2%</f>
        <v>0.22</v>
      </c>
      <c r="G36" s="10">
        <f t="shared" si="1"/>
        <v>0.03826086956521739</v>
      </c>
      <c r="H36" s="10">
        <f t="shared" si="2"/>
        <v>0.009984320743993481</v>
      </c>
      <c r="I36" s="17">
        <v>8</v>
      </c>
      <c r="J36">
        <v>8</v>
      </c>
      <c r="K36" t="s">
        <v>69</v>
      </c>
    </row>
    <row r="37" spans="1:11" ht="11.25">
      <c r="A37" t="s">
        <v>74</v>
      </c>
      <c r="E37" s="10">
        <f t="shared" si="0"/>
        <v>0.08695652173913043</v>
      </c>
      <c r="F37" s="10">
        <f>1/2*1/3</f>
        <v>0.16666666666666666</v>
      </c>
      <c r="G37" s="10">
        <f t="shared" si="1"/>
        <v>0.014492753623188404</v>
      </c>
      <c r="H37" s="10">
        <f t="shared" si="2"/>
        <v>0.0037819396757551057</v>
      </c>
      <c r="I37" s="17">
        <v>14</v>
      </c>
      <c r="J37">
        <v>4</v>
      </c>
      <c r="K37" t="s">
        <v>70</v>
      </c>
    </row>
    <row r="38" spans="1:11" ht="11.25">
      <c r="A38" t="s">
        <v>75</v>
      </c>
      <c r="E38" s="10">
        <f t="shared" si="0"/>
        <v>0.08695652173913043</v>
      </c>
      <c r="F38" s="7">
        <v>0.4</v>
      </c>
      <c r="G38" s="10">
        <f t="shared" si="1"/>
        <v>0.034782608695652174</v>
      </c>
      <c r="H38" s="10">
        <f t="shared" si="2"/>
        <v>0.009076655221812256</v>
      </c>
      <c r="I38" s="17">
        <v>9</v>
      </c>
      <c r="J38">
        <v>4</v>
      </c>
      <c r="K38" t="s">
        <v>76</v>
      </c>
    </row>
    <row r="39" spans="1:11" ht="11.25">
      <c r="A39" t="s">
        <v>77</v>
      </c>
      <c r="E39" s="10">
        <f t="shared" si="0"/>
        <v>0.06521739130434782</v>
      </c>
      <c r="F39" s="7">
        <v>0.5</v>
      </c>
      <c r="G39" s="10">
        <f t="shared" si="1"/>
        <v>0.03260869565217391</v>
      </c>
      <c r="H39" s="10">
        <f t="shared" si="2"/>
        <v>0.00850936427044899</v>
      </c>
      <c r="I39" s="17">
        <v>10</v>
      </c>
      <c r="J39">
        <v>3</v>
      </c>
      <c r="K39" t="s">
        <v>112</v>
      </c>
    </row>
    <row r="40" spans="1:11" ht="11.25">
      <c r="A40" t="s">
        <v>78</v>
      </c>
      <c r="E40" s="10">
        <f t="shared" si="0"/>
        <v>0.08695652173913043</v>
      </c>
      <c r="F40" s="7">
        <v>0.2</v>
      </c>
      <c r="G40" s="10">
        <f t="shared" si="1"/>
        <v>0.017391304347826087</v>
      </c>
      <c r="H40" s="10">
        <f t="shared" si="2"/>
        <v>0.004538327610906128</v>
      </c>
      <c r="I40" s="17">
        <v>12</v>
      </c>
      <c r="J40">
        <v>4</v>
      </c>
      <c r="K40" t="s">
        <v>79</v>
      </c>
    </row>
    <row r="41" spans="1:10" ht="11.25">
      <c r="A41" t="s">
        <v>43</v>
      </c>
      <c r="G41" s="10">
        <f>SUM(G34:G40)</f>
        <v>0.3592753623188406</v>
      </c>
      <c r="H41" s="10"/>
      <c r="J41">
        <f>SUM(J34:J40)</f>
        <v>46</v>
      </c>
    </row>
    <row r="42" spans="1:8" ht="11.25">
      <c r="A42" t="s">
        <v>44</v>
      </c>
      <c r="G42" s="10">
        <f>Baselines!I28</f>
        <v>0.26095383762710234</v>
      </c>
      <c r="H42" s="10"/>
    </row>
    <row r="43" spans="1:9" ht="12">
      <c r="A43" s="1" t="s">
        <v>45</v>
      </c>
      <c r="B43" s="1"/>
      <c r="C43" s="1"/>
      <c r="D43" s="1"/>
      <c r="E43" s="1"/>
      <c r="F43" s="1"/>
      <c r="G43" s="13"/>
      <c r="H43" s="13">
        <f>SUM(H34:H40)</f>
        <v>0.09375428456196908</v>
      </c>
      <c r="I43" s="18"/>
    </row>
    <row r="45" ht="12">
      <c r="A45" s="1" t="s">
        <v>42</v>
      </c>
    </row>
    <row r="46" spans="1:11" ht="11.25">
      <c r="A46" t="s">
        <v>62</v>
      </c>
      <c r="E46" s="7"/>
      <c r="F46" s="7">
        <v>0.15</v>
      </c>
      <c r="G46" s="10">
        <f>F46</f>
        <v>0.15</v>
      </c>
      <c r="H46" s="10">
        <f>G46*$G$51</f>
        <v>0.03952361759409404</v>
      </c>
      <c r="I46" s="17">
        <v>3</v>
      </c>
      <c r="K46" t="s">
        <v>52</v>
      </c>
    </row>
    <row r="47" spans="1:11" ht="11.25">
      <c r="A47" t="s">
        <v>39</v>
      </c>
      <c r="G47" s="10">
        <f>1-G46</f>
        <v>0.85</v>
      </c>
      <c r="H47" s="10"/>
      <c r="K47" s="4" t="s">
        <v>61</v>
      </c>
    </row>
    <row r="48" spans="1:11" ht="11.25">
      <c r="A48" t="s">
        <v>46</v>
      </c>
      <c r="E48" s="7"/>
      <c r="G48" s="7">
        <v>0.08</v>
      </c>
      <c r="H48" s="7"/>
      <c r="K48" s="4" t="s">
        <v>113</v>
      </c>
    </row>
    <row r="49" spans="1:11" ht="11.25">
      <c r="A49" t="s">
        <v>63</v>
      </c>
      <c r="G49" s="10">
        <f>G48*G47</f>
        <v>0.068</v>
      </c>
      <c r="H49" s="10">
        <f>G49*$G$51</f>
        <v>0.017917373309322634</v>
      </c>
      <c r="I49" s="17">
        <v>5</v>
      </c>
      <c r="K49" s="4" t="s">
        <v>55</v>
      </c>
    </row>
    <row r="50" spans="1:11" ht="11.25">
      <c r="A50" t="s">
        <v>43</v>
      </c>
      <c r="G50" s="10">
        <f>G46+G49</f>
        <v>0.218</v>
      </c>
      <c r="H50" s="10"/>
      <c r="K50" s="4" t="s">
        <v>58</v>
      </c>
    </row>
    <row r="51" spans="1:8" ht="11.25">
      <c r="A51" t="s">
        <v>44</v>
      </c>
      <c r="G51" s="10">
        <f>Baselines!I48</f>
        <v>0.263490783960627</v>
      </c>
      <c r="H51" s="10"/>
    </row>
    <row r="52" spans="1:9" s="1" customFormat="1" ht="12">
      <c r="A52" s="1" t="s">
        <v>45</v>
      </c>
      <c r="G52" s="13"/>
      <c r="H52" s="13">
        <f>SUM(H46:H49)</f>
        <v>0.05744099090341667</v>
      </c>
      <c r="I52" s="18"/>
    </row>
    <row r="54" ht="12">
      <c r="A54" s="1" t="s">
        <v>114</v>
      </c>
    </row>
    <row r="55" spans="1:11" ht="11.25">
      <c r="A55" t="s">
        <v>80</v>
      </c>
      <c r="E55" s="7">
        <v>0.5</v>
      </c>
      <c r="F55" s="7">
        <v>0.15</v>
      </c>
      <c r="G55" s="10">
        <f>E55*F55</f>
        <v>0.075</v>
      </c>
      <c r="H55" s="10">
        <f>G55*$G$59</f>
        <v>0.007904723518818808</v>
      </c>
      <c r="I55" s="17">
        <v>11</v>
      </c>
      <c r="K55" t="s">
        <v>64</v>
      </c>
    </row>
    <row r="56" spans="1:11" ht="11.25">
      <c r="A56" s="14" t="s">
        <v>81</v>
      </c>
      <c r="E56" s="7">
        <v>0.4</v>
      </c>
      <c r="F56" s="7">
        <v>0.1</v>
      </c>
      <c r="G56" s="10">
        <f>E56*F56</f>
        <v>0.04000000000000001</v>
      </c>
      <c r="H56" s="10">
        <f>G56*$G$59</f>
        <v>0.004215852543370032</v>
      </c>
      <c r="I56" s="17">
        <v>13</v>
      </c>
      <c r="K56" t="s">
        <v>65</v>
      </c>
    </row>
    <row r="57" spans="1:11" ht="11.25">
      <c r="A57" t="s">
        <v>82</v>
      </c>
      <c r="E57" s="7">
        <f>1-E55-E56</f>
        <v>0.09999999999999998</v>
      </c>
      <c r="F57" s="7">
        <v>0.05</v>
      </c>
      <c r="G57" s="10">
        <f>E57*F57</f>
        <v>0.004999999999999999</v>
      </c>
      <c r="H57" s="10">
        <f>G57*$G$59</f>
        <v>0.0005269815679212538</v>
      </c>
      <c r="I57" s="17">
        <v>16</v>
      </c>
      <c r="K57" t="s">
        <v>65</v>
      </c>
    </row>
    <row r="58" spans="1:11" ht="11.25">
      <c r="A58" t="s">
        <v>43</v>
      </c>
      <c r="G58" s="10">
        <f>SUM(G55:G57)</f>
        <v>0.12000000000000001</v>
      </c>
      <c r="H58" s="10"/>
      <c r="K58" s="4" t="s">
        <v>66</v>
      </c>
    </row>
    <row r="59" spans="1:8" ht="11.25">
      <c r="A59" t="s">
        <v>44</v>
      </c>
      <c r="G59" s="10">
        <f>Baselines!I54</f>
        <v>0.10539631358425078</v>
      </c>
      <c r="H59" s="10"/>
    </row>
    <row r="60" spans="1:9" ht="12">
      <c r="A60" s="1" t="s">
        <v>45</v>
      </c>
      <c r="B60" s="1"/>
      <c r="C60" s="1"/>
      <c r="D60" s="1"/>
      <c r="E60" s="1"/>
      <c r="F60" s="1"/>
      <c r="G60" s="13"/>
      <c r="H60" s="13">
        <f>SUM(H55:H57)</f>
        <v>0.012647557630110095</v>
      </c>
      <c r="I60" s="18"/>
    </row>
    <row r="62" spans="1:9" ht="12">
      <c r="A62" s="1" t="s">
        <v>115</v>
      </c>
      <c r="G62" s="13"/>
      <c r="H62" s="13">
        <f>H31+H43+H52+H60</f>
        <v>0.2667470531176854</v>
      </c>
      <c r="I62" s="13">
        <f>SUMIF(I21:I60,"&gt;5",H21:H60)</f>
        <v>0.07878620119476286</v>
      </c>
    </row>
    <row r="63" ht="11.25">
      <c r="I63" s="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25">
      <selection activeCell="C60" sqref="C60"/>
    </sheetView>
  </sheetViews>
  <sheetFormatPr defaultColWidth="9.140625" defaultRowHeight="12"/>
  <cols>
    <col min="8" max="8" width="12.421875" style="0" customWidth="1"/>
  </cols>
  <sheetData>
    <row r="1" ht="12.75">
      <c r="A1" s="19" t="s">
        <v>90</v>
      </c>
    </row>
    <row r="3" ht="11.25">
      <c r="A3" t="s">
        <v>91</v>
      </c>
    </row>
    <row r="4" ht="11.25">
      <c r="A4" t="s">
        <v>92</v>
      </c>
    </row>
    <row r="6" ht="12">
      <c r="A6" s="1" t="s">
        <v>0</v>
      </c>
    </row>
    <row r="7" ht="7.5" customHeight="1"/>
    <row r="8" spans="1:8" ht="11.25">
      <c r="A8" t="s">
        <v>1</v>
      </c>
      <c r="H8" s="3">
        <v>9159264</v>
      </c>
    </row>
    <row r="9" ht="11.25">
      <c r="A9" s="4" t="s">
        <v>2</v>
      </c>
    </row>
    <row r="10" spans="1:8" ht="11.25">
      <c r="A10" t="s">
        <v>3</v>
      </c>
      <c r="H10">
        <v>42</v>
      </c>
    </row>
    <row r="11" spans="1:8" ht="11.25">
      <c r="A11" t="s">
        <v>6</v>
      </c>
      <c r="H11">
        <v>365</v>
      </c>
    </row>
    <row r="12" spans="1:8" ht="11.25">
      <c r="A12" t="s">
        <v>5</v>
      </c>
      <c r="H12" s="3">
        <v>113343000</v>
      </c>
    </row>
    <row r="13" ht="11.25">
      <c r="A13" s="4" t="s">
        <v>4</v>
      </c>
    </row>
    <row r="14" spans="1:8" ht="11.25">
      <c r="A14" t="s">
        <v>7</v>
      </c>
      <c r="H14" s="3">
        <f>H8*H11*H10/H12</f>
        <v>1238.8194870437521</v>
      </c>
    </row>
    <row r="15" spans="1:8" ht="11.25">
      <c r="A15" t="s">
        <v>11</v>
      </c>
      <c r="H15" s="3">
        <f>ROUND(H14,-1)</f>
        <v>1240</v>
      </c>
    </row>
    <row r="16" spans="1:8" ht="11.25">
      <c r="A16" t="s">
        <v>13</v>
      </c>
      <c r="H16" s="5">
        <v>19.63</v>
      </c>
    </row>
    <row r="17" spans="1:8" ht="11.25">
      <c r="A17" s="4" t="s">
        <v>14</v>
      </c>
      <c r="H17" s="3"/>
    </row>
    <row r="18" spans="1:10" ht="11.25">
      <c r="A18" t="s">
        <v>15</v>
      </c>
      <c r="H18" s="2">
        <f>H15*H16/2000</f>
        <v>12.170599999999999</v>
      </c>
      <c r="I18" s="11">
        <f>H18/$H$56</f>
        <v>0.3701590648280199</v>
      </c>
      <c r="J18" s="7" t="s">
        <v>93</v>
      </c>
    </row>
    <row r="19" spans="8:9" ht="11.25">
      <c r="H19" s="3"/>
      <c r="I19" s="7"/>
    </row>
    <row r="20" spans="1:9" ht="12">
      <c r="A20" s="1" t="s">
        <v>8</v>
      </c>
      <c r="I20" s="7"/>
    </row>
    <row r="21" ht="7.5" customHeight="1">
      <c r="I21" s="7"/>
    </row>
    <row r="22" spans="1:9" ht="11.25">
      <c r="A22" t="s">
        <v>94</v>
      </c>
      <c r="H22" s="3">
        <v>1359227.107</v>
      </c>
      <c r="I22" s="7"/>
    </row>
    <row r="23" spans="1:9" ht="11.25">
      <c r="A23" s="4" t="s">
        <v>9</v>
      </c>
      <c r="I23" s="7"/>
    </row>
    <row r="24" spans="1:9" ht="11.25">
      <c r="A24" t="s">
        <v>10</v>
      </c>
      <c r="H24" s="3">
        <f>H22*1000000/H12</f>
        <v>11992.1574953901</v>
      </c>
      <c r="I24" s="7"/>
    </row>
    <row r="25" spans="1:9" ht="11.25">
      <c r="A25" t="s">
        <v>12</v>
      </c>
      <c r="H25" s="3">
        <f>ROUND(H24,-2)</f>
        <v>12000</v>
      </c>
      <c r="I25" s="7"/>
    </row>
    <row r="26" spans="1:9" ht="11.25">
      <c r="A26" t="s">
        <v>98</v>
      </c>
      <c r="H26" s="5">
        <v>1.43</v>
      </c>
      <c r="I26" s="7"/>
    </row>
    <row r="27" spans="1:9" ht="11.25">
      <c r="A27" s="4" t="s">
        <v>95</v>
      </c>
      <c r="H27" s="3"/>
      <c r="I27" s="7"/>
    </row>
    <row r="28" spans="1:10" ht="11.25">
      <c r="A28" t="s">
        <v>16</v>
      </c>
      <c r="H28" s="2">
        <f>H25*H26/2000</f>
        <v>8.58</v>
      </c>
      <c r="I28" s="11">
        <f>H28/$H$56</f>
        <v>0.26095383762710234</v>
      </c>
      <c r="J28" s="7" t="s">
        <v>93</v>
      </c>
    </row>
    <row r="29" ht="11.25">
      <c r="I29" s="7"/>
    </row>
    <row r="30" spans="1:9" ht="12">
      <c r="A30" s="1" t="s">
        <v>47</v>
      </c>
      <c r="I30" s="7"/>
    </row>
    <row r="31" ht="7.5" customHeight="1">
      <c r="I31" s="7"/>
    </row>
    <row r="32" spans="1:9" ht="11.25">
      <c r="A32" t="s">
        <v>17</v>
      </c>
      <c r="H32">
        <v>15</v>
      </c>
      <c r="I32" s="7"/>
    </row>
    <row r="33" spans="1:9" ht="11.25">
      <c r="A33" s="4" t="s">
        <v>29</v>
      </c>
      <c r="I33" s="7"/>
    </row>
    <row r="34" spans="1:9" ht="11.25">
      <c r="A34" t="s">
        <v>18</v>
      </c>
      <c r="H34" s="3">
        <v>4500</v>
      </c>
      <c r="I34" s="7"/>
    </row>
    <row r="35" spans="1:9" ht="11.25">
      <c r="A35" s="4" t="s">
        <v>30</v>
      </c>
      <c r="H35" s="3"/>
      <c r="I35" s="7"/>
    </row>
    <row r="36" spans="1:9" ht="11.25">
      <c r="A36" t="s">
        <v>19</v>
      </c>
      <c r="H36" s="3">
        <v>2000</v>
      </c>
      <c r="I36" s="7"/>
    </row>
    <row r="37" spans="1:9" ht="11.25">
      <c r="A37" s="4" t="s">
        <v>29</v>
      </c>
      <c r="I37" s="7"/>
    </row>
    <row r="38" spans="1:9" ht="11.25">
      <c r="A38" t="s">
        <v>20</v>
      </c>
      <c r="H38">
        <f>H32*H34*H36/1000000</f>
        <v>135</v>
      </c>
      <c r="I38" s="7"/>
    </row>
    <row r="39" spans="1:9" ht="11.25">
      <c r="A39" t="s">
        <v>21</v>
      </c>
      <c r="H39" s="6">
        <v>117.31</v>
      </c>
      <c r="I39" s="7"/>
    </row>
    <row r="40" spans="1:9" ht="11.25">
      <c r="A40" s="4" t="s">
        <v>96</v>
      </c>
      <c r="H40" s="6"/>
      <c r="I40" s="7"/>
    </row>
    <row r="41" spans="1:9" ht="11.25">
      <c r="A41" t="s">
        <v>23</v>
      </c>
      <c r="H41">
        <v>19.97</v>
      </c>
      <c r="I41" s="7"/>
    </row>
    <row r="42" spans="1:9" ht="11.25">
      <c r="A42" t="s">
        <v>22</v>
      </c>
      <c r="H42" s="6">
        <f>H41*2205*44/12/1000</f>
        <v>161.45745</v>
      </c>
      <c r="I42" s="7"/>
    </row>
    <row r="43" spans="1:9" ht="11.25">
      <c r="A43" s="4" t="s">
        <v>97</v>
      </c>
      <c r="H43" s="6"/>
      <c r="I43" s="7"/>
    </row>
    <row r="44" spans="1:9" ht="11.25">
      <c r="A44" t="s">
        <v>24</v>
      </c>
      <c r="H44" s="7">
        <v>0.75</v>
      </c>
      <c r="I44" s="7"/>
    </row>
    <row r="45" spans="1:9" ht="11.25">
      <c r="A45" t="s">
        <v>25</v>
      </c>
      <c r="H45" s="7">
        <f>1-H44</f>
        <v>0.25</v>
      </c>
      <c r="I45" s="7"/>
    </row>
    <row r="46" spans="1:9" ht="11.25">
      <c r="A46" s="4" t="s">
        <v>26</v>
      </c>
      <c r="I46" s="7"/>
    </row>
    <row r="47" spans="1:9" ht="11.25">
      <c r="A47" t="s">
        <v>27</v>
      </c>
      <c r="H47" s="6">
        <f>H39*H44+H42*H45</f>
        <v>128.3468625</v>
      </c>
      <c r="I47" s="7"/>
    </row>
    <row r="48" spans="1:10" ht="11.25">
      <c r="A48" t="s">
        <v>28</v>
      </c>
      <c r="H48" s="6">
        <f>H38*H47/2000</f>
        <v>8.66341321875</v>
      </c>
      <c r="I48" s="11">
        <f>H48/$H$56</f>
        <v>0.263490783960627</v>
      </c>
      <c r="J48" s="7" t="s">
        <v>93</v>
      </c>
    </row>
    <row r="49" spans="8:10" ht="11.25">
      <c r="H49" s="6"/>
      <c r="I49" s="11"/>
      <c r="J49" s="7"/>
    </row>
    <row r="50" spans="1:10" ht="12">
      <c r="A50" s="1" t="s">
        <v>48</v>
      </c>
      <c r="H50" s="6"/>
      <c r="I50" s="11"/>
      <c r="J50" s="7"/>
    </row>
    <row r="51" ht="7.5" customHeight="1">
      <c r="I51" s="7"/>
    </row>
    <row r="52" spans="1:9" ht="11.25">
      <c r="A52" t="s">
        <v>49</v>
      </c>
      <c r="H52" s="7">
        <v>0.4</v>
      </c>
      <c r="I52" s="7"/>
    </row>
    <row r="53" spans="1:9" ht="11.25">
      <c r="A53" s="4" t="s">
        <v>31</v>
      </c>
      <c r="I53" s="7"/>
    </row>
    <row r="54" spans="1:10" ht="11.25">
      <c r="A54" t="s">
        <v>50</v>
      </c>
      <c r="H54" s="6">
        <f>H52*H48</f>
        <v>3.4653652875</v>
      </c>
      <c r="I54" s="11">
        <f>H54/$H$56</f>
        <v>0.10539631358425078</v>
      </c>
      <c r="J54" s="7" t="s">
        <v>93</v>
      </c>
    </row>
    <row r="56" spans="1:9" ht="12">
      <c r="A56" s="1" t="s">
        <v>51</v>
      </c>
      <c r="H56" s="8">
        <f>H18+H28+H48+H54</f>
        <v>32.87937850625</v>
      </c>
      <c r="I56" s="11">
        <f>H56/$H$56</f>
        <v>1</v>
      </c>
    </row>
  </sheetData>
  <hyperlinks>
    <hyperlink ref="A23" r:id="rId1" display="http://www.eia.doe.gov/emeu/mer/elect.html (Table 7.6)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Komanoff</dc:creator>
  <cp:keywords/>
  <dc:description/>
  <cp:lastModifiedBy>Charles Komanoff</cp:lastModifiedBy>
  <dcterms:created xsi:type="dcterms:W3CDTF">2007-04-30T14:17:24Z</dcterms:created>
  <dcterms:modified xsi:type="dcterms:W3CDTF">2007-04-30T20:19:14Z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