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5404" windowWidth="14556" windowHeight="5796" activeTab="0"/>
  </bookViews>
  <sheets>
    <sheet name="Summary" sheetId="1" r:id="rId1"/>
    <sheet name="Electricity" sheetId="2" r:id="rId2"/>
    <sheet name="Gasoline" sheetId="3" r:id="rId3"/>
    <sheet name="Aviation" sheetId="4" r:id="rId4"/>
    <sheet name="Other" sheetId="5" r:id="rId5"/>
    <sheet name="Graph" sheetId="6" r:id="rId6"/>
    <sheet name="Emissions" sheetId="7" r:id="rId7"/>
    <sheet name="Outtakes" sheetId="8" r:id="rId8"/>
  </sheets>
  <externalReferences>
    <externalReference r:id="rId11"/>
  </externalReferences>
  <definedNames>
    <definedName name="_xlnm.Print_Area" localSheetId="1">'Electricity'!$A$1:$AF$119</definedName>
    <definedName name="_xlnm.Print_Area" localSheetId="6">'Emissions'!$A$1:$H$20</definedName>
    <definedName name="_xlnm.Print_Area" localSheetId="2">'Gasoline'!$A$1:$AF$120</definedName>
    <definedName name="_xlnm.Print_Area" localSheetId="5">'Graph'!$A$14:$I$39</definedName>
    <definedName name="_xlnm.Print_Area" localSheetId="4">'Other'!$A$1:$AF$120</definedName>
    <definedName name="_xlnm.Print_Area" localSheetId="0">'Summary'!$A$1:$AF$107</definedName>
  </definedNames>
  <calcPr fullCalcOnLoad="1"/>
</workbook>
</file>

<file path=xl/sharedStrings.xml><?xml version="1.0" encoding="utf-8"?>
<sst xmlns="http://schemas.openxmlformats.org/spreadsheetml/2006/main" count="674" uniqueCount="291">
  <si>
    <r>
      <t xml:space="preserve">This worksheet was originally added to estimate the CO2 reductions, petroleum savings and revenues that would result from adding, </t>
    </r>
    <r>
      <rPr>
        <u val="single"/>
        <sz val="9"/>
        <rFont val="Arial"/>
        <family val="2"/>
      </rPr>
      <t>each year for 15 years</t>
    </r>
    <r>
      <rPr>
        <sz val="9"/>
        <rFont val="Arial"/>
        <family val="2"/>
      </rPr>
      <t>,</t>
    </r>
    <r>
      <rPr>
        <sz val="9"/>
        <rFont val="Arial"/>
        <family val="0"/>
      </rPr>
      <t xml:space="preserve"> a 10 cent-a-gallon tax on jet and diesel fuels, to the carbon tax and gasoline tax modeled in the rest of this spreadsheet.</t>
    </r>
  </si>
  <si>
    <r>
      <t xml:space="preserve">The calculations here were rough approximations based on prorating. None of them are currently used in the "live" versions of this spreadsheet (e.g., in the </t>
    </r>
    <r>
      <rPr>
        <b/>
        <sz val="9"/>
        <rFont val="Arial"/>
        <family val="2"/>
      </rPr>
      <t>Summary</t>
    </r>
    <r>
      <rPr>
        <sz val="9"/>
        <rFont val="Arial"/>
        <family val="2"/>
      </rPr>
      <t>).</t>
    </r>
    <r>
      <rPr>
        <sz val="9"/>
        <rFont val="Arial"/>
        <family val="0"/>
      </rPr>
      <t>.</t>
    </r>
  </si>
  <si>
    <t>CARBON TAX _ 4-Sector Model for USA</t>
  </si>
  <si>
    <t>This spreadsheet models the impacts of a national carbon tax on fuel use, carbon emissions and revenues,</t>
  </si>
  <si>
    <r>
      <t xml:space="preserve">using a 4-sector model: </t>
    </r>
    <r>
      <rPr>
        <b/>
        <sz val="9"/>
        <rFont val="Arial"/>
        <family val="2"/>
      </rPr>
      <t>Electricity</t>
    </r>
    <r>
      <rPr>
        <sz val="9"/>
        <rFont val="Arial"/>
        <family val="2"/>
      </rPr>
      <t xml:space="preserve">, </t>
    </r>
    <r>
      <rPr>
        <b/>
        <sz val="9"/>
        <rFont val="Arial"/>
        <family val="2"/>
      </rPr>
      <t>Gasoline</t>
    </r>
    <r>
      <rPr>
        <sz val="9"/>
        <rFont val="Arial"/>
        <family val="2"/>
      </rPr>
      <t xml:space="preserve">, </t>
    </r>
    <r>
      <rPr>
        <b/>
        <sz val="9"/>
        <rFont val="Arial"/>
        <family val="2"/>
      </rPr>
      <t>Aviation</t>
    </r>
    <r>
      <rPr>
        <sz val="9"/>
        <rFont val="Arial"/>
        <family val="2"/>
      </rPr>
      <t xml:space="preserve">, and </t>
    </r>
    <r>
      <rPr>
        <b/>
        <sz val="9"/>
        <rFont val="Arial"/>
        <family val="2"/>
      </rPr>
      <t>Other</t>
    </r>
    <r>
      <rPr>
        <sz val="9"/>
        <rFont val="Arial"/>
        <family val="2"/>
      </rPr>
      <t>.</t>
    </r>
  </si>
  <si>
    <t>It is adapted from a detailed spreadsheet developed by Komanoff for the Carbon Tax Center to approximate the impacts of a state-level carbon tax in Colorado. That spreadsheet is available at the Carbon Tax Center Web site, by going to this page, http://www.carbontax.org/you/colorado-carbon-tax-campaign/, and finding and clicking on the link to a "spreadsheet." Whereas that spreadsheet includes detailed scenarios for revenue distribution, this one simply calculates annual revenues. On the other hand, this spreadsheet surpasses the Colorado model in two respects: it disaggregates Aviation from "Other," and it includes a supplemental per-gallon tax on gasoline and aviation fuel.</t>
  </si>
  <si>
    <r>
      <t>Graph</t>
    </r>
    <r>
      <rPr>
        <sz val="9"/>
        <rFont val="Arial"/>
        <family val="2"/>
      </rPr>
      <t xml:space="preserve"> charts annual CO2 emissions with and without the assumed tax(es).</t>
    </r>
  </si>
  <si>
    <r>
      <t xml:space="preserve">There are 7 acctive worksheets, including this one. (An eighth, </t>
    </r>
    <r>
      <rPr>
        <b/>
        <sz val="9"/>
        <rFont val="Arial"/>
        <family val="2"/>
      </rPr>
      <t>Outtakes</t>
    </r>
    <r>
      <rPr>
        <sz val="9"/>
        <rFont val="Arial"/>
        <family val="2"/>
      </rPr>
      <t>, is vestigial.)</t>
    </r>
  </si>
  <si>
    <r>
      <t xml:space="preserve">This page pertains only to the </t>
    </r>
    <r>
      <rPr>
        <b/>
        <sz val="9"/>
        <rFont val="Arial"/>
        <family val="2"/>
      </rPr>
      <t>Electricity Sector</t>
    </r>
    <r>
      <rPr>
        <sz val="9"/>
        <rFont val="Arial"/>
        <family val="0"/>
      </rPr>
      <t xml:space="preserve">. Succeeding pages show the </t>
    </r>
    <r>
      <rPr>
        <b/>
        <sz val="9"/>
        <rFont val="Arial"/>
        <family val="2"/>
      </rPr>
      <t>Gasoline</t>
    </r>
    <r>
      <rPr>
        <sz val="9"/>
        <rFont val="Arial"/>
        <family val="2"/>
      </rPr>
      <t xml:space="preserve"> and </t>
    </r>
    <r>
      <rPr>
        <b/>
        <sz val="9"/>
        <rFont val="Arial"/>
        <family val="2"/>
      </rPr>
      <t xml:space="preserve">Aviation Sectors </t>
    </r>
    <r>
      <rPr>
        <sz val="9"/>
        <rFont val="Arial"/>
        <family val="0"/>
      </rPr>
      <t xml:space="preserve">and All </t>
    </r>
    <r>
      <rPr>
        <b/>
        <sz val="9"/>
        <rFont val="Arial"/>
        <family val="2"/>
      </rPr>
      <t>Other Sectors</t>
    </r>
    <r>
      <rPr>
        <sz val="9"/>
        <rFont val="Arial"/>
        <family val="0"/>
      </rPr>
      <t xml:space="preserve"> (treated as one).</t>
    </r>
  </si>
  <si>
    <r>
      <t xml:space="preserve">This page pertains only to the </t>
    </r>
    <r>
      <rPr>
        <b/>
        <sz val="9"/>
        <rFont val="Arial"/>
        <family val="2"/>
      </rPr>
      <t>Gasoline Sector</t>
    </r>
    <r>
      <rPr>
        <sz val="9"/>
        <rFont val="Arial"/>
        <family val="0"/>
      </rPr>
      <t xml:space="preserve">. Other pages show the </t>
    </r>
    <r>
      <rPr>
        <b/>
        <sz val="9"/>
        <rFont val="Arial"/>
        <family val="2"/>
      </rPr>
      <t>Electricity</t>
    </r>
    <r>
      <rPr>
        <sz val="9"/>
        <rFont val="Arial"/>
        <family val="0"/>
      </rPr>
      <t xml:space="preserve"> </t>
    </r>
    <r>
      <rPr>
        <sz val="9"/>
        <rFont val="Arial"/>
        <family val="2"/>
      </rPr>
      <t xml:space="preserve">and </t>
    </r>
    <r>
      <rPr>
        <b/>
        <sz val="9"/>
        <rFont val="Arial"/>
        <family val="2"/>
      </rPr>
      <t xml:space="preserve">Aviation Sectors </t>
    </r>
    <r>
      <rPr>
        <sz val="9"/>
        <rFont val="Arial"/>
        <family val="0"/>
      </rPr>
      <t xml:space="preserve">and All </t>
    </r>
    <r>
      <rPr>
        <b/>
        <sz val="9"/>
        <rFont val="Arial"/>
        <family val="2"/>
      </rPr>
      <t>Other Sectors</t>
    </r>
    <r>
      <rPr>
        <sz val="9"/>
        <rFont val="Arial"/>
        <family val="0"/>
      </rPr>
      <t xml:space="preserve"> (treated as one).</t>
    </r>
  </si>
  <si>
    <t>This page pertains to all CO2 emissions from fuel burning, other than those from electricity, gasoline and aviation, which are treated in preceding worksheets. Since this "sector" lumps together hundreds of disparate sectors, our treatment is less rigorous than for those sectors.</t>
  </si>
  <si>
    <r>
      <t xml:space="preserve">Data are from Carbon Tax Center spreadsheet, </t>
    </r>
    <r>
      <rPr>
        <b/>
        <sz val="9"/>
        <rFont val="Arial"/>
        <family val="2"/>
      </rPr>
      <t>Carbon Contents.xls</t>
    </r>
    <r>
      <rPr>
        <sz val="9"/>
        <rFont val="Arial"/>
        <family val="0"/>
      </rPr>
      <t>.</t>
    </r>
  </si>
  <si>
    <t>Note: We have run the model on the assumption that the 2008-2012 tax is repeated over 2013-2017, 2018-2022 and 2023-2027, making it, in effect a $200/$2.00 tax over 20 years.</t>
  </si>
  <si>
    <r>
      <t>Emissions</t>
    </r>
    <r>
      <rPr>
        <sz val="9"/>
        <rFont val="Arial"/>
        <family val="2"/>
      </rPr>
      <t xml:space="preserve"> -- A brief table presenting estimated U.S. emissions of carbon dioxide in 2005.</t>
    </r>
  </si>
  <si>
    <r>
      <t xml:space="preserve">All figures are in million metric tons of carbon dioxide (CO2) and pertain to </t>
    </r>
    <r>
      <rPr>
        <u val="single"/>
        <sz val="9"/>
        <rFont val="Arial"/>
        <family val="2"/>
      </rPr>
      <t>2005</t>
    </r>
    <r>
      <rPr>
        <sz val="9"/>
        <rFont val="Arial"/>
        <family val="0"/>
      </rPr>
      <t>.</t>
    </r>
  </si>
  <si>
    <r>
      <t xml:space="preserve">CTC assumption, derived from literature review (principally Bohi, </t>
    </r>
    <r>
      <rPr>
        <i/>
        <sz val="8"/>
        <rFont val="Arial"/>
        <family val="2"/>
      </rPr>
      <t>Analyzing Demand Behavior</t>
    </r>
    <r>
      <rPr>
        <sz val="8"/>
        <rFont val="Arial"/>
        <family val="2"/>
      </rPr>
      <t>). Value shown is rough avg for residential, commercial and industrial sectors. See CTC Web page, http://www.carbontax.org/issues/energy-demand-how-sensitive-to-price/.</t>
    </r>
  </si>
  <si>
    <t>We assume that the impact of the carbon tax on electricity demand is realized over time in a linear fashion. (This is apart from the phase-in of the carbon tax level itself.) Each cell in the triangular array below denotes the effective price-elasticity in the column year that will apply to the tax enacted in the row year. Further below, each cell in the rectangular array operates on the corresponding elasticity value and the price increase due to the tax, to yield a multiplicative factor denoting the shrinkage in demand due to the higher price.</t>
  </si>
  <si>
    <t>CTC assumption.</t>
  </si>
  <si>
    <t>Note: This section has not been included in the Print Area.</t>
  </si>
  <si>
    <t>This section examines the "sources" of CO2 reductions, to determine the relative amounts associated with  the demand side vs. the supply side.</t>
  </si>
  <si>
    <t>"Other"</t>
  </si>
  <si>
    <t>See discussion in http://www.carbontax.org/issues/energy-demand-how-sensitive-to-price/ for background; However, because we have not analyzed "Other" fuels, the figure here is a guesstimate.</t>
  </si>
  <si>
    <r>
      <t xml:space="preserve">Calculated as all emissions from fossil fuel burning, in </t>
    </r>
    <r>
      <rPr>
        <b/>
        <sz val="8"/>
        <rFont val="Arial"/>
        <family val="2"/>
      </rPr>
      <t>CO2 Emissions</t>
    </r>
    <r>
      <rPr>
        <sz val="8"/>
        <rFont val="Arial"/>
        <family val="2"/>
      </rPr>
      <t xml:space="preserve"> wksheet, except for electricity and gasoline.</t>
    </r>
  </si>
  <si>
    <t>Page Down once for Results</t>
  </si>
  <si>
    <r>
      <t xml:space="preserve">Charles Komanoff, Carbon Tax Center (CTC), </t>
    </r>
    <r>
      <rPr>
        <u val="single"/>
        <sz val="10"/>
        <rFont val="Arial"/>
        <family val="2"/>
      </rPr>
      <t>www.carbontax.org</t>
    </r>
    <r>
      <rPr>
        <sz val="10"/>
        <rFont val="Arial"/>
        <family val="2"/>
      </rPr>
      <t>, kea@igc.org</t>
    </r>
  </si>
  <si>
    <t>Graph</t>
  </si>
  <si>
    <t>Summary</t>
  </si>
  <si>
    <t>Reduction in CO2 in that year, relative to same year's CO2 if no carbon tax, expressed as a percent.</t>
  </si>
  <si>
    <t>Same as above, except each value is the avg reduxn from yr prior to tax start, compounded annually.</t>
  </si>
  <si>
    <t>Tax in year shown, per metric ton of carbon dioxide emitted</t>
  </si>
  <si>
    <t>CO2 emissions, w/o carbon tax, millions of metric tons</t>
  </si>
  <si>
    <t>Reduxn in per-kWh emission rate per each $37/ton increment to C tax</t>
  </si>
  <si>
    <t>in cents/kWh</t>
  </si>
  <si>
    <t>Electricity Consumption</t>
  </si>
  <si>
    <t xml:space="preserve">  Coal</t>
  </si>
  <si>
    <t xml:space="preserve">  Natural Gas</t>
  </si>
  <si>
    <t xml:space="preserve">  Oil</t>
  </si>
  <si>
    <t xml:space="preserve">  Net Imported Electricity</t>
  </si>
  <si>
    <t>Total</t>
  </si>
  <si>
    <t>Electricity</t>
  </si>
  <si>
    <t>Gasoline</t>
  </si>
  <si>
    <t>Assumed price-elasticity of electricity (long-run)</t>
  </si>
  <si>
    <t>Assumed growth rate to 2007 and beyond, w/o carbon tax</t>
  </si>
  <si>
    <t>Figures in this</t>
  </si>
  <si>
    <t>Pounds per metric ton</t>
  </si>
  <si>
    <t>First year in which carbon tax is effective</t>
  </si>
  <si>
    <t>Ratio, Generation to Sales</t>
  </si>
  <si>
    <t>Reduction in electricity usage, relative to ongoing trend w/o carbon tax</t>
  </si>
  <si>
    <t>% increase in average retail price of electricity over prior year</t>
  </si>
  <si>
    <t>CO2 emissions, millions of metric tons, w/o carbon tax</t>
  </si>
  <si>
    <t>CO2 emissions, millions of metric tons, with carbon tax</t>
  </si>
  <si>
    <t>Annual tax increment, per ton of carbon emitted (not CO2)</t>
  </si>
  <si>
    <t>Tax in year shown, per ton of carbon emitted</t>
  </si>
  <si>
    <t>Pounds of CO2 per pound of carbon</t>
  </si>
  <si>
    <t>Elec demand factor due to this yr's price increase</t>
  </si>
  <si>
    <t>Carbon Tax Revenues, $ millions</t>
  </si>
  <si>
    <t>Reduction in CO2 due to carbon tax, million metric tons, relative to moving trajectory</t>
  </si>
  <si>
    <t>2005 figure is calculated as product of net generation x CO2 per kWh,with appropriate unit conversions</t>
  </si>
  <si>
    <t>No. of years over which long-run elasticity is manifested</t>
  </si>
  <si>
    <r>
      <t>lbs Carbon per 10</t>
    </r>
    <r>
      <rPr>
        <vertAlign val="superscript"/>
        <sz val="9"/>
        <rFont val="Arial"/>
        <family val="2"/>
      </rPr>
      <t>6</t>
    </r>
    <r>
      <rPr>
        <sz val="9"/>
        <rFont val="Arial"/>
        <family val="0"/>
      </rPr>
      <t xml:space="preserve"> Btu, gasoline</t>
    </r>
  </si>
  <si>
    <t>http://www.epa.gov/ttn/chief/eiip/techreport/volume08/viii01.pdf</t>
  </si>
  <si>
    <t>Million Btu per barrel, gasoline</t>
  </si>
  <si>
    <t>Btu per gallon, gasoline</t>
  </si>
  <si>
    <t>lbs Carbon per gallon, gasoline</t>
  </si>
  <si>
    <t>lbs CO2 per gallon, gasoline</t>
  </si>
  <si>
    <t>Assumed price-elasticity (long-term)</t>
  </si>
  <si>
    <t>See discussion in http://www.carbontax.org/issues/energy-demand-how-sensitive-to-price/</t>
  </si>
  <si>
    <t>Average retail gasoline price, per gallon</t>
  </si>
  <si>
    <t>% increase in average retail price of gasoline over prior year</t>
  </si>
  <si>
    <t>Gasoline usage, million gallons, w/o carbon tax</t>
  </si>
  <si>
    <t>CO2 emissions, lb / gallon</t>
  </si>
  <si>
    <t>Gasoline demand factor due to this yr's price increase</t>
  </si>
  <si>
    <t>CTC guesstimate, set at less than that of gasoline, to reflect prominence of natural gas in "Other" sector.</t>
  </si>
  <si>
    <t>CO2 emissions from "Other" sector, million metric tons, 2005</t>
  </si>
  <si>
    <t>Implied "Other" fuel usage, trillion Btu's, 2005</t>
  </si>
  <si>
    <r>
      <t>lbs Carbon per 10</t>
    </r>
    <r>
      <rPr>
        <vertAlign val="superscript"/>
        <sz val="9"/>
        <rFont val="Arial"/>
        <family val="2"/>
      </rPr>
      <t>6</t>
    </r>
    <r>
      <rPr>
        <sz val="9"/>
        <rFont val="Arial"/>
        <family val="0"/>
      </rPr>
      <t xml:space="preserve"> Btu, "Other" fuels</t>
    </r>
  </si>
  <si>
    <r>
      <t>lbs CO2 per 10</t>
    </r>
    <r>
      <rPr>
        <vertAlign val="superscript"/>
        <sz val="9"/>
        <rFont val="Arial"/>
        <family val="2"/>
      </rPr>
      <t>6</t>
    </r>
    <r>
      <rPr>
        <sz val="9"/>
        <rFont val="Arial"/>
        <family val="0"/>
      </rPr>
      <t xml:space="preserve"> Btu, "Other" fuels</t>
    </r>
  </si>
  <si>
    <t>CO2 emissions from "Other" sector, billion pounds, 2005</t>
  </si>
  <si>
    <t>"Other" fuel usage, trillion Btu's, w/o carbon tax</t>
  </si>
  <si>
    <t>Tax per gallon of gasoline</t>
  </si>
  <si>
    <t>Tax per million btu of fuel</t>
  </si>
  <si>
    <t>Average user price of "other" fuel, per million Btu</t>
  </si>
  <si>
    <t>(base price is CTC guesstimate)</t>
  </si>
  <si>
    <t>% increase in average retail price of "Other" fuels over prior year</t>
  </si>
  <si>
    <t>Reduction in gasoline usage, relative to ongoing trend w/o carbon tax</t>
  </si>
  <si>
    <t>CO2 emissions, lb / million Btu, w/ carbon tax</t>
  </si>
  <si>
    <t>CO2 emissions, millions of metric tons, without carbon tax</t>
  </si>
  <si>
    <t>This summary sheet combines emission projections from three separate worksheets:</t>
  </si>
  <si>
    <t>Analysis</t>
  </si>
  <si>
    <t>Electricity sales w/o carbon tax</t>
  </si>
  <si>
    <t>Electricity sales w carbon tax</t>
  </si>
  <si>
    <t>Year chosen for snapshot:</t>
  </si>
  <si>
    <t>Emission rate (CO2 per kWh) w/o carbon tax</t>
  </si>
  <si>
    <t>Total CO2 emissions w/o carbon tax</t>
  </si>
  <si>
    <t>Emission rate (CO2 per kWh) w/ carbon tax</t>
  </si>
  <si>
    <t>Total CO2 emissions w/ carbon tax</t>
  </si>
  <si>
    <t>These entries are shown as a check, to ensure that the ratio here is the product of the two prior ones.</t>
  </si>
  <si>
    <t xml:space="preserve">Ratio of "demand" shrinkage factor to </t>
  </si>
  <si>
    <t>"emissions rate" shrinkage factor:</t>
  </si>
  <si>
    <t xml:space="preserve"> Share of total reduction attributable to demand</t>
  </si>
  <si>
    <t xml:space="preserve"> Share of total reduxn attributable to emission rate</t>
  </si>
  <si>
    <t>Gasoline sales w/o carbon tax</t>
  </si>
  <si>
    <t>Gasoline sales w carbon tax</t>
  </si>
  <si>
    <t>Other fuel sales w/o carbon tax</t>
  </si>
  <si>
    <t>Other fuel sales w carbon tax</t>
  </si>
  <si>
    <t>Each increment equates to this many cents per gallon of gasoline:</t>
  </si>
  <si>
    <t>Rates after 2007 are assumed same as 2007 except for carbon tax, which increments at a declining rate due to the assumed reduction in the carbon intensity of electricity resulting from the carbon tax.</t>
  </si>
  <si>
    <t>Figure decreases over time because generators seeking to minimize tax incidence will reduce carbon-intensity of electricity generation (see below).</t>
  </si>
  <si>
    <t>column apply</t>
  </si>
  <si>
    <t>either to 2005</t>
  </si>
  <si>
    <t>Reduxn in per-gallon emission rate per $37/ton C tax</t>
  </si>
  <si>
    <t xml:space="preserve">Assumed price-elasticity of demand for gasoline (long-run) </t>
  </si>
  <si>
    <t>Effective price-elasticity in this column's year, for tax enacted in:</t>
  </si>
  <si>
    <t>Note to reader: The rows directly below are derived through a set of calculations involving the rows further below.</t>
  </si>
  <si>
    <t>Reduxn in per-kWh CO2 rate from each yr's C tax @ price shown:</t>
  </si>
  <si>
    <t>CTC guesstimate, intended to reflect increased penetration of wind, natural gas and generation efficiencies as coal grows more costly. Ideally, this would be modeled with time lag. Note that this reduction is assumed to persist despite eventual leveling of carbon tax.</t>
  </si>
  <si>
    <t>CTC guesstimate, intended to reflect increased penetration of biofuels, hydrogen, etc. as gasoline grows more costly. Ideally, this would be modeled with time lag. Note that this reduction is assumed to persist despite eventual leveling of carbon tax.</t>
  </si>
  <si>
    <t>Reduxn in per-btu emission rate per $37/ton C tax</t>
  </si>
  <si>
    <t>Reduxn in per-btu emission rate due to each yr's C tax</t>
  </si>
  <si>
    <t>Same tax increment, expressed alternatively per ton of CO2 emitted</t>
  </si>
  <si>
    <t>(calculated using the 2007-average carbon content of gasoline)</t>
  </si>
  <si>
    <r>
      <t xml:space="preserve">Line loss % is from eGrid, according to a citation (FN 34 in Table A-6) of the Center for Climate Strategies report referenced in the </t>
    </r>
    <r>
      <rPr>
        <b/>
        <sz val="8"/>
        <rFont val="Arial"/>
        <family val="0"/>
      </rPr>
      <t>C Emissions</t>
    </r>
    <r>
      <rPr>
        <sz val="8"/>
        <rFont val="Arial"/>
        <family val="0"/>
      </rPr>
      <t xml:space="preserve"> worksheet.</t>
    </r>
  </si>
  <si>
    <t>Assumed growth rate to 2007</t>
  </si>
  <si>
    <t>Assumed growth rate from 2007, w/o carbon tax</t>
  </si>
  <si>
    <t>CO2 emissions, lb / kWh, w/o carbon tax</t>
  </si>
  <si>
    <t>Annual decrease rate in CO2 emissions, lb/kWh, w/o carbon tax</t>
  </si>
  <si>
    <t>vs. in 2004:</t>
  </si>
  <si>
    <t>CO2 emissions, lb / kWh, w/ carbon tax</t>
  </si>
  <si>
    <r>
      <t xml:space="preserve">Carbon emission charge per kWh </t>
    </r>
    <r>
      <rPr>
        <u val="single"/>
        <sz val="9"/>
        <rFont val="Arial"/>
        <family val="2"/>
      </rPr>
      <t>generated</t>
    </r>
    <r>
      <rPr>
        <sz val="9"/>
        <rFont val="Arial"/>
        <family val="0"/>
      </rPr>
      <t>, cents/kWh (w/ carbon tax)</t>
    </r>
  </si>
  <si>
    <r>
      <t xml:space="preserve">Carbon charge per kWh </t>
    </r>
    <r>
      <rPr>
        <u val="single"/>
        <sz val="9"/>
        <rFont val="Arial"/>
        <family val="2"/>
      </rPr>
      <t>sold</t>
    </r>
  </si>
  <si>
    <t>Reduxn in per-gallon CO2 rate from each yr's C tax @ price shown:</t>
  </si>
  <si>
    <t>Emission rate (CO2 per gallon) w/o carbon tax</t>
  </si>
  <si>
    <t>Emission rate (CO2 per gallon) w/ carbon tax</t>
  </si>
  <si>
    <t>Emission rate (CO2 per btu) w/o carbon tax</t>
  </si>
  <si>
    <t>Emission rate (CO2 per btu) w/ carbon tax</t>
  </si>
  <si>
    <t xml:space="preserve">  from Electricity</t>
  </si>
  <si>
    <t xml:space="preserve">  from Gasoline</t>
  </si>
  <si>
    <t xml:space="preserve">  from "Other"</t>
  </si>
  <si>
    <t>Note: Users of this spreadsheet may wish to substitute an "official" series of future gasoline sales for this one.</t>
  </si>
  <si>
    <t>Note: Users of this spreadsheet may wish to substitute an "official" series of future sales for this one.</t>
  </si>
  <si>
    <t>CTC guesstimate, intended to reflect increased penetration of biofuels, hydrogen, etc. as conventional fuels grow more costly.</t>
  </si>
  <si>
    <t>"Other" fuel demand factor due to this yr's price increase</t>
  </si>
  <si>
    <t>Reduction in "other" fuel usage, relative to ongoing trend w/o carbon tax</t>
  </si>
  <si>
    <t>CO2 emissions, with no carbon tax</t>
  </si>
  <si>
    <t xml:space="preserve"> ¢/gal</t>
  </si>
  <si>
    <t xml:space="preserve">  Is year shown at top of column equal to or greater than the tax-start year?</t>
  </si>
  <si>
    <t>This  year</t>
  </si>
  <si>
    <t>is "hard-</t>
  </si>
  <si>
    <t>wired" to</t>
  </si>
  <si>
    <t>This and</t>
  </si>
  <si>
    <t>later years</t>
  </si>
  <si>
    <t>pivot off</t>
  </si>
  <si>
    <t>first tax yr</t>
  </si>
  <si>
    <t>Tax year, number</t>
  </si>
  <si>
    <t xml:space="preserve">  Is year shown at top of column greater than the last tax-increment year?</t>
  </si>
  <si>
    <t xml:space="preserve">First year in which tax increment is applied </t>
  </si>
  <si>
    <t xml:space="preserve">Last year in which tax increment is applied </t>
  </si>
  <si>
    <t>NO</t>
  </si>
  <si>
    <t>equal 2007</t>
  </si>
  <si>
    <t>or throughout</t>
  </si>
  <si>
    <t>the analysis.</t>
  </si>
  <si>
    <r>
      <t xml:space="preserve">Parameters that pivot directly off assumptions in </t>
    </r>
    <r>
      <rPr>
        <b/>
        <sz val="9"/>
        <color indexed="48"/>
        <rFont val="Arial"/>
        <family val="0"/>
      </rPr>
      <t>Summary</t>
    </r>
    <r>
      <rPr>
        <sz val="9"/>
        <color indexed="48"/>
        <rFont val="Arial"/>
        <family val="0"/>
      </rPr>
      <t xml:space="preserve"> worksheet are shown in blue.</t>
    </r>
  </si>
  <si>
    <t>Key parameters that the user may specify here (in this worksheet) are shown in magenta.</t>
  </si>
  <si>
    <t>Product of two earlier ratios, above</t>
  </si>
  <si>
    <t>Ratio (due to carbon tax)</t>
  </si>
  <si>
    <t>Magenta-colored cells may be entered by the users. ALL OTHER CELLS SHOULD BE LEFT ALONE, to avoid inadvertently altering the formulas that determine their value.</t>
  </si>
  <si>
    <t>Summary of Results</t>
  </si>
  <si>
    <t>CO2 emissions, millions of metric tons, with carbon tax incremented at level inputted above</t>
  </si>
  <si>
    <t>Reduction in CO2 due to that carbon tax, relative to moving trajectory, million metric tons</t>
  </si>
  <si>
    <r>
      <t>Electricity</t>
    </r>
    <r>
      <rPr>
        <sz val="9"/>
        <rFont val="Arial"/>
        <family val="2"/>
      </rPr>
      <t xml:space="preserve">, </t>
    </r>
    <r>
      <rPr>
        <b/>
        <sz val="9"/>
        <rFont val="Arial"/>
        <family val="2"/>
      </rPr>
      <t>Gasoline</t>
    </r>
    <r>
      <rPr>
        <sz val="9"/>
        <rFont val="Arial"/>
        <family val="2"/>
      </rPr>
      <t xml:space="preserve">, and </t>
    </r>
    <r>
      <rPr>
        <b/>
        <sz val="9"/>
        <rFont val="Arial"/>
        <family val="2"/>
      </rPr>
      <t>Other</t>
    </r>
    <r>
      <rPr>
        <sz val="9"/>
        <rFont val="Arial"/>
        <family val="2"/>
      </rPr>
      <t xml:space="preserve">. (See </t>
    </r>
    <r>
      <rPr>
        <b/>
        <sz val="9"/>
        <rFont val="Arial"/>
        <family val="2"/>
      </rPr>
      <t>Other</t>
    </r>
    <r>
      <rPr>
        <sz val="9"/>
        <rFont val="Arial"/>
        <family val="2"/>
      </rPr>
      <t xml:space="preserve"> worksheet for description of its composition.)</t>
    </r>
  </si>
  <si>
    <t>Some notes about the organization of this spreadsheet.</t>
  </si>
  <si>
    <r>
      <t>Summary</t>
    </r>
    <r>
      <rPr>
        <sz val="9"/>
        <rFont val="Arial"/>
        <family val="2"/>
      </rPr>
      <t xml:space="preserve"> -- This worksheet. Prints to six pages (of which one is blank).</t>
    </r>
  </si>
  <si>
    <t>Emissions are expressed in CO2 (rather than carbon) and, for the most part, in metric terms. The carbon tax rate is generally expressed in carbon (not CO2) and in British units (tons, not metric tons). Please let us know if you would prefer use of metric terms and CO2 only.</t>
  </si>
  <si>
    <t>(blank page)</t>
  </si>
  <si>
    <t>Note: This worksheet is pre-formatted to print to six pages.</t>
  </si>
  <si>
    <t>Same tax increment, expressed alternatively per tonne (metric ton) of CO2 emitted</t>
  </si>
  <si>
    <t>Motor Gasoline</t>
  </si>
  <si>
    <t>Other</t>
  </si>
  <si>
    <t>Average Retail Price (cents/kWh), with carbon tax</t>
  </si>
  <si>
    <t>in 2006:</t>
  </si>
  <si>
    <t>The price in 2007 is specified to be the 2006 price plus 0.5¢/kWh, to allow for two years of inflation + escalation. 2006 price is from EIA, Annual Energy Review, Table 8.10.</t>
  </si>
  <si>
    <t>U.S. electricity sales w/o carbon tax, thousands of GWh, 2006</t>
  </si>
  <si>
    <t>EIA, Annual Energy Review, Table 8.9.</t>
  </si>
  <si>
    <t>U.S. avg .electric sales growth rate 2001-2006 was 1.43%, per CK calculations in EIA Annual Energy Rev. Table 8.9.</t>
  </si>
  <si>
    <t>U.S. net electric gen. w/o carbon tax, thous. GWh, 2006</t>
  </si>
  <si>
    <t>EIA Annual Energy Rev., Table 8.2a.</t>
  </si>
  <si>
    <r>
      <t xml:space="preserve">Line losses </t>
    </r>
    <r>
      <rPr>
        <sz val="8"/>
        <rFont val="Arial"/>
        <family val="2"/>
      </rPr>
      <t>(% of generation that doesn't reach user)</t>
    </r>
  </si>
  <si>
    <t>National reduction in electricity sales due to carbon tax, gigawatt-hours</t>
  </si>
  <si>
    <t>U.S. Net Generation with carbon tax, gigawatt-hours</t>
  </si>
  <si>
    <t>U.S. electricity sales with carbon tax, gigawatt-hours</t>
  </si>
  <si>
    <t>Additional tax on gasoline, cents per gallon, annual increment</t>
  </si>
  <si>
    <t>(Actual avg for 2007 first-half = $2.75)</t>
  </si>
  <si>
    <t>U.S. Motor gasoline 2006, thousand barrels</t>
  </si>
  <si>
    <t>Calculation from KEA monthly spreadsheet on U.S. oil consumption; uses 2006 figure from EIA</t>
  </si>
  <si>
    <t>U.S. Motor gasoline 2006, million gallons</t>
  </si>
  <si>
    <t>National reduction in gasoline sales due to carbon tax, million gallons</t>
  </si>
  <si>
    <t>U.S. gasoline sales with carbon tax, million gallons</t>
  </si>
  <si>
    <t>National "other" fuels sales with carbon tax, trillion btu</t>
  </si>
  <si>
    <r>
      <t xml:space="preserve">Electricity </t>
    </r>
    <r>
      <rPr>
        <sz val="9"/>
        <rFont val="Arial"/>
        <family val="2"/>
      </rPr>
      <t>-- accounts for 40% of U.S. CO2 emissions, and is dominated by coal.</t>
    </r>
  </si>
  <si>
    <r>
      <t xml:space="preserve">Gasoline </t>
    </r>
    <r>
      <rPr>
        <sz val="9"/>
        <rFont val="Arial"/>
        <family val="2"/>
      </rPr>
      <t>-- is dominated by household vehicles, including so-called light trucks, but also includes some light-duty commercial/freight vehicles and recreational/lawn-care machines. 21% of nationwide emissions.</t>
    </r>
  </si>
  <si>
    <r>
      <t>"Other"</t>
    </r>
    <r>
      <rPr>
        <sz val="9"/>
        <rFont val="Arial"/>
        <family val="2"/>
      </rPr>
      <t xml:space="preserve"> -- all fossil-fuel burning other than gasoline or for electricity; yes, it's a catch-all, and ideally should be disaggregated. Accounts for just under 39% of emissions.</t>
    </r>
  </si>
  <si>
    <t>To come</t>
  </si>
  <si>
    <t>U.S. Carbon Dioxide Emissions</t>
  </si>
  <si>
    <t>All figures are for USA, in millions of metric tons of carbon dioxide per year</t>
  </si>
  <si>
    <t xml:space="preserve">  Percentages of CO2</t>
  </si>
  <si>
    <t xml:space="preserve">    from sector, 2007</t>
  </si>
  <si>
    <t>Carbon Tax Revenues, $ millions (w/o gas tax component)</t>
  </si>
  <si>
    <t>Gas Tax Revenues, $ millions (w/o carbon tax component)</t>
  </si>
  <si>
    <t>Carbon Tax Revenues, $ millions (carbon tax + gas tax, combined)</t>
  </si>
  <si>
    <t>National reduction in "other" fuels sales due to carbon tax, trillion btu</t>
  </si>
  <si>
    <t>Cars (includes SUV’s, minivans, pickups)</t>
  </si>
  <si>
    <t>Gasoline, almost entirely</t>
  </si>
  <si>
    <t>Trucks (weighing &gt; 8500 lbs)</t>
  </si>
  <si>
    <t>Diesel, almost entirely</t>
  </si>
  <si>
    <t>Air travel (passenger only, i.e., no freight)</t>
  </si>
  <si>
    <t>Jet fuel</t>
  </si>
  <si>
    <t>Air freight</t>
  </si>
  <si>
    <t>Recreational Boats, ATV's, etc.</t>
  </si>
  <si>
    <t>Major Uses of Federally Taxed Petroleum Fuels for Transport in the US, 2000 (million bbl/day)</t>
  </si>
  <si>
    <t>Figures are from spreadsheet analysis by C. Komanoff in early 2002 for KEA report, "Ending The Oil Age," and are distilled from U.S. DOE data.</t>
  </si>
  <si>
    <t>The proposed legislation being modeled here would impose a 50 cent-a-gallon tax (via a 5-year phase-in) on fuels that are subject to federal taxes as listed in Paragraph (2) of section 4081(a) of the Internal Revenue Code of 1986. That paragraph applies to gasoline, aviation gasoline, diesel fuel and kerosene. That paragraph is accessible here:</t>
  </si>
  <si>
    <t>http://www.taxalmanac.org/index.php/Internal_Revenue_Code:Sec._4081._Imposition_of_tax</t>
  </si>
  <si>
    <t>Consolidation of the Above Table</t>
  </si>
  <si>
    <t>Diesel + Jet (Aviation) Fuel</t>
  </si>
  <si>
    <t>Ratio of Diesel + Jet (Aviation) to Gasoline:</t>
  </si>
  <si>
    <t xml:space="preserve">  from Gasoline (includes additional direct tax on gasoline)</t>
  </si>
  <si>
    <t xml:space="preserve">  from Gasoline (includes extra reductions in gasoline)</t>
  </si>
  <si>
    <t>tax on aviation fuel. Note that these impacts are calculated by prorating gasoline use by the relative magnitude</t>
  </si>
  <si>
    <t>of aviation fuel. In doing so, we implicitly apply gasoline's price-elasticity, even though it is likely that use of</t>
  </si>
  <si>
    <t>aviation fuel is somewhat more price-sensitive.</t>
  </si>
  <si>
    <t>Additional tax on gasoline and aviation fuel, cents per gallon, annual increment</t>
  </si>
  <si>
    <t>Aviation</t>
  </si>
  <si>
    <t>(Diesel fuel is shown above because it was included in a prior "trial-balloon" version of the 50/50 bill.)</t>
  </si>
  <si>
    <t>Jet (Aviation) Fuel alone</t>
  </si>
  <si>
    <t>Ratio of Jet (Aviation) to Gasoline:</t>
  </si>
  <si>
    <t>Carbon Tax Revenues, $ millions (rounded to nearest hundred million; includes extra petroleum tax)</t>
  </si>
  <si>
    <r>
      <t>Aviation</t>
    </r>
    <r>
      <rPr>
        <sz val="9"/>
        <rFont val="Arial"/>
        <family val="2"/>
      </rPr>
      <t xml:space="preserve"> -- This worksheet develops a rough estimate of the impacts of an additional 50 cent-a-gallon</t>
    </r>
  </si>
  <si>
    <r>
      <t xml:space="preserve">This spreadsheet is intended to provide “rough but reasonable” estimates of future reductions in U.S. carbon dioxide emissions that would result from levying, each year for 15 years, a "hybrid carbon tax" at an </t>
    </r>
    <r>
      <rPr>
        <u val="single"/>
        <sz val="9"/>
        <rFont val="Arial"/>
        <family val="2"/>
      </rPr>
      <t>annual rate</t>
    </r>
    <r>
      <rPr>
        <sz val="9"/>
        <rFont val="Arial"/>
        <family val="2"/>
      </rPr>
      <t xml:space="preserve"> of $10/ton-of-Carbon plus a supplemental 10 cent-a-gallon tax on gasoline and aviation fuel. </t>
    </r>
  </si>
  <si>
    <t>CO2 w/ annual tax rises of $10/tonC + 10 cents/gal.</t>
  </si>
  <si>
    <t>Sept. 25, 2007</t>
  </si>
  <si>
    <t>C. Komanoff, Sept. 25, 2007</t>
  </si>
  <si>
    <t>Reduction in CO2 due to the carbon tax, calculated relative to 2008 emissions, million metric tons</t>
  </si>
  <si>
    <t>Reduction in CO2 due to carbon tax, million metric tons, relative to 2008 emissions</t>
  </si>
  <si>
    <t>Percentages of the CO2 Reductions (rel. to moving trajectory) est'd to come from petroleum fuels</t>
  </si>
  <si>
    <t>(Figure might appropriately be reduced over time to allow for penetration of biofuels.)</t>
  </si>
  <si>
    <t>Trillion Btu Reductions (relative to moving trajectory) est'd to come from petroleum fuels</t>
  </si>
  <si>
    <t>Reduction in Petroleum Consumption due to the tax, relative to moving trajectory, thousand bbl/day</t>
  </si>
  <si>
    <t>Figure is share of 2006 U.S. fossil-fuel electricity generation from petroleum, calculated from EIA, Monthly Energy Review, Table 7.2a. Electricity Net Generation: Total (All Sectors).</t>
  </si>
  <si>
    <t>CO2 emissions, lb / kWh generated w/ Fossil Fuels, 2006 avg:</t>
  </si>
  <si>
    <t>CO2 emissions, lb / kWh generated, 2006</t>
  </si>
  <si>
    <t>From CTC spreadsheet, Carbon Contents</t>
  </si>
  <si>
    <r>
      <t xml:space="preserve">  from Electricity </t>
    </r>
    <r>
      <rPr>
        <sz val="8"/>
        <rFont val="Arial"/>
        <family val="2"/>
      </rPr>
      <t xml:space="preserve">(note: assumes 10,000 Btu/kWh; see CTC spreadsheet, </t>
    </r>
    <r>
      <rPr>
        <b/>
        <sz val="8"/>
        <rFont val="Arial"/>
        <family val="2"/>
      </rPr>
      <t>Carbon Content</t>
    </r>
    <r>
      <rPr>
        <sz val="8"/>
        <rFont val="Arial"/>
        <family val="2"/>
      </rPr>
      <t>)</t>
    </r>
  </si>
  <si>
    <t>Additional Energy Constants</t>
  </si>
  <si>
    <t>Million Btu per barrel of petroleum burned for electricity generation, 2006</t>
  </si>
  <si>
    <t>http://www.eia.doe.gov/emeu/mer/append_a.html, Table A3.</t>
  </si>
  <si>
    <t>Million Btu per barrel of petroleum products</t>
  </si>
  <si>
    <t>Monthly Energy Review, May 1998, Table A3. Includes gasoline and electricity utility fuel, but is close enough proxy for "Other."</t>
  </si>
  <si>
    <r>
      <t xml:space="preserve">This page pertains only to </t>
    </r>
    <r>
      <rPr>
        <b/>
        <sz val="9"/>
        <rFont val="Arial"/>
        <family val="2"/>
      </rPr>
      <t>Aviation</t>
    </r>
    <r>
      <rPr>
        <sz val="9"/>
        <rFont val="Arial"/>
        <family val="0"/>
      </rPr>
      <t xml:space="preserve">. Other pages show the </t>
    </r>
    <r>
      <rPr>
        <b/>
        <sz val="9"/>
        <rFont val="Arial"/>
        <family val="2"/>
      </rPr>
      <t>Electricity</t>
    </r>
    <r>
      <rPr>
        <sz val="9"/>
        <rFont val="Arial"/>
        <family val="0"/>
      </rPr>
      <t xml:space="preserve"> </t>
    </r>
    <r>
      <rPr>
        <b/>
        <sz val="9"/>
        <rFont val="Arial"/>
        <family val="2"/>
      </rPr>
      <t>Sector</t>
    </r>
    <r>
      <rPr>
        <sz val="9"/>
        <rFont val="Arial"/>
        <family val="2"/>
      </rPr>
      <t xml:space="preserve">, </t>
    </r>
    <r>
      <rPr>
        <b/>
        <sz val="9"/>
        <rFont val="Arial"/>
        <family val="2"/>
      </rPr>
      <t xml:space="preserve">Gasoline </t>
    </r>
    <r>
      <rPr>
        <sz val="9"/>
        <rFont val="Arial"/>
        <family val="0"/>
      </rPr>
      <t xml:space="preserve">and All </t>
    </r>
    <r>
      <rPr>
        <b/>
        <sz val="9"/>
        <rFont val="Arial"/>
        <family val="2"/>
      </rPr>
      <t>Other Sectors</t>
    </r>
    <r>
      <rPr>
        <sz val="9"/>
        <rFont val="Arial"/>
        <family val="0"/>
      </rPr>
      <t xml:space="preserve"> (treated as one).</t>
    </r>
  </si>
  <si>
    <t>Million metric tons of Carbon per quadrillion Btu</t>
  </si>
  <si>
    <t>Greenhouse Gas Appendix A on emissions, http://www.eia.doe.gov/oiaf/1605/87-92rpt/appa.html, under Jet Fuel (for kerosene jet fuels, unpaginated)</t>
  </si>
  <si>
    <t>same as above</t>
  </si>
  <si>
    <t>Million Btu per barrel, jet fuel</t>
  </si>
  <si>
    <t>lbs Carbon per gallon, jet fuel</t>
  </si>
  <si>
    <t>lbs CO2 per gallon, jet fuel</t>
  </si>
  <si>
    <t>Additional tax on jet fuel, cents per gallon, annual increment</t>
  </si>
  <si>
    <t>U.S. Jet Fuel supplied, 2006, thousand barrels per day</t>
  </si>
  <si>
    <t>U.S. Jet Fuel supplied, 2006, million gallons</t>
  </si>
  <si>
    <t>CTC assumption, incorporating slight operational improvements on the 1996-2006 compound average growth rate in passenger miles of 3.25% (derived in Komanoff spreadsheet modeling/adjusting annual gasoline use data.</t>
  </si>
  <si>
    <r>
      <t xml:space="preserve">CTC guesstimate. See discussion on same row in </t>
    </r>
    <r>
      <rPr>
        <b/>
        <sz val="8"/>
        <rFont val="Arial"/>
        <family val="2"/>
      </rPr>
      <t>Gasoline</t>
    </r>
    <r>
      <rPr>
        <sz val="8"/>
        <rFont val="Arial"/>
        <family val="2"/>
      </rPr>
      <t xml:space="preserve"> worksheet. We have divided that figure by 5</t>
    </r>
    <r>
      <rPr>
        <sz val="8"/>
        <rFont val="Arial"/>
        <family val="0"/>
      </rPr>
      <t xml:space="preserve"> to reflect the higher purity required for aircraft engines.</t>
    </r>
  </si>
  <si>
    <t>Tax per gallon of jet fuel</t>
  </si>
  <si>
    <t>(2006 avg w/o taxes = $2.00, per Monthly Energy Review, Table 9.7. Refiner Prices of Petroleum Products to End Users; we have added the federal excise tax of 21.9 cents and have guesstimated an additional 10 cents for state and local levies)</t>
  </si>
  <si>
    <t>Average retail jet fuel price, per gallon, 2006</t>
  </si>
  <si>
    <t>National reduction in jet fuel sales due to carbon tax, million gallons</t>
  </si>
  <si>
    <t>U.S. jet fuel sales with carbon tax, million gallons</t>
  </si>
  <si>
    <t>Carbon Tax Revenues, $ millions (w/o jet fuel tax component)</t>
  </si>
  <si>
    <t>Carbon Tax Revenues, $ millions (carbon tax + jet fuel tax, combined)</t>
  </si>
  <si>
    <t>% increase in average retail price of jet fuel over prior year</t>
  </si>
  <si>
    <t xml:space="preserve">Assumed price-elasticity of demand for jet fuel (long-run) </t>
  </si>
  <si>
    <t>Jet fuel demand factor due to this yr's price increase</t>
  </si>
  <si>
    <t>We assume that the impact of the carbon tax on jet fuel demand is realized over time in a linear fashion. (This is apart from the phase-in of the carbon tax level itself.) Each cell in the triangular array below denotes the effective price-elasticity in the column year that will apply to the tax enacted in the row year. Further below, each cell in the rectangular array operates on the corresponding elasticity value and the price increase due to the tax, to yield a multiplicative factor denoting the shrinkage in demand due to the higher price.</t>
  </si>
  <si>
    <t>We assume that the impact of the carbon tax on gasoline demand is realized over time in a linear fashion. (This is apart from the phase-in of the carbon tax level itself.) Each cell in the triangular array below denotes the effective price-elasticity in the column year that will apply to the tax enacted in the row year. Further below, each cell in the rectangular array operates on the corresponding elasticity value and the price increase due to the tax, to yield a multiplicative factor denoting the shrinkage in demand due to the higher price.</t>
  </si>
  <si>
    <t>Jet Fuel usage, million gallons, w/o carbon tax</t>
  </si>
  <si>
    <t xml:space="preserve">  from Aviation</t>
  </si>
  <si>
    <r>
      <t xml:space="preserve">Assumed to be half again as great as that for gasoline, which is referenced in corresponding row in </t>
    </r>
    <r>
      <rPr>
        <b/>
        <sz val="8"/>
        <rFont val="Arial"/>
        <family val="2"/>
      </rPr>
      <t>Gasoline</t>
    </r>
    <r>
      <rPr>
        <sz val="8"/>
        <rFont val="Arial"/>
        <family val="2"/>
      </rPr>
      <t xml:space="preserve"> worksheet. This reflects fuel's higher proportion of air travel costs as well as more discretionary nature of most air travel vs. most auto travel.</t>
    </r>
  </si>
  <si>
    <r>
      <t xml:space="preserve">T h I s   r o w   k e p t   e m p t y   t o   m a I n t a I n   c o n s I s t e n c y   w I t h   </t>
    </r>
    <r>
      <rPr>
        <b/>
        <sz val="9"/>
        <rFont val="Arial"/>
        <family val="2"/>
      </rPr>
      <t>e l e c t r I c I t y,</t>
    </r>
    <r>
      <rPr>
        <sz val="9"/>
        <rFont val="Arial"/>
        <family val="2"/>
      </rPr>
      <t xml:space="preserve">  </t>
    </r>
    <r>
      <rPr>
        <b/>
        <sz val="9"/>
        <rFont val="Arial"/>
        <family val="2"/>
      </rPr>
      <t xml:space="preserve">g a s o l I n e   a n d   a v I a t I o n   </t>
    </r>
    <r>
      <rPr>
        <sz val="9"/>
        <rFont val="Arial"/>
        <family val="2"/>
      </rPr>
      <t>w o r k s h e e t s</t>
    </r>
  </si>
  <si>
    <t xml:space="preserve">  from Aviation (includes additional direct tax on jet fuel)</t>
  </si>
  <si>
    <t>Breakdown of the CO2 reductions among the four sectors</t>
  </si>
  <si>
    <t>(Same as above, except that assumed biofuel penetration is even smaller for jet fuel than for gasoline.)</t>
  </si>
  <si>
    <r>
      <t xml:space="preserve">Back-calculated as the share of "Other" which, when combined with above three percentages and their CO2 shares in </t>
    </r>
    <r>
      <rPr>
        <b/>
        <sz val="8"/>
        <rFont val="Arial"/>
        <family val="2"/>
      </rPr>
      <t>CO2 Emissions</t>
    </r>
    <r>
      <rPr>
        <sz val="8"/>
        <rFont val="Arial"/>
        <family val="2"/>
      </rPr>
      <t xml:space="preserve"> worksheet, yields 48.4% (Petroleum Products' btu share of 2006 U.S. fossil fuel consumption, per Monthly Energy Review, Table 1.3. Energy Consumption by Source). We are using CO2 as a proxy for Btu's, given petroleum's midrange carbon intensity between coal and natural gas. </t>
    </r>
  </si>
  <si>
    <r>
      <t xml:space="preserve">  from "Other" (</t>
    </r>
    <r>
      <rPr>
        <sz val="8"/>
        <rFont val="Arial"/>
        <family val="2"/>
      </rPr>
      <t>calc. uses gasoline energy and carbon factors)</t>
    </r>
  </si>
  <si>
    <t>Outtakes</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</si>
</sst>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quot;Yes&quot;;&quot;Yes&quot;;&quot;No&quot;"/>
    <numFmt numFmtId="167" formatCode="&quot;True&quot;;&quot;True&quot;;&quot;False&quot;"/>
    <numFmt numFmtId="168" formatCode="&quot;On&quot;;&quot;On&quot;;&quot;Off&quot;"/>
    <numFmt numFmtId="169" formatCode="[$€-2]\ #,##0.00_);[Red]\([$€-2]\ #,##0.00\)"/>
    <numFmt numFmtId="170" formatCode="_(* #,##0_);_(* \(#,##0\);_(* &quot;-&quot;??_);_(@_)"/>
    <numFmt numFmtId="171" formatCode="0.000000"/>
    <numFmt numFmtId="172" formatCode="0.00000"/>
    <numFmt numFmtId="173" formatCode="0.0000"/>
    <numFmt numFmtId="174" formatCode="0.000"/>
    <numFmt numFmtId="175" formatCode="_(* #,##0.000_);_(* \(#,##0.000\);_(* &quot;-&quot;???_);_(@_)"/>
    <numFmt numFmtId="176" formatCode="_(* #,##0.0_);_(* \(#,##0.0\);_(* &quot;-&quot;??_);_(@_)"/>
    <numFmt numFmtId="177" formatCode="_(* #,##0.0_);_(* \(#,##0.0\);_(* &quot;-&quot;?_);_(@_)"/>
    <numFmt numFmtId="178" formatCode="0.0"/>
    <numFmt numFmtId="179" formatCode="0.0%"/>
    <numFmt numFmtId="180" formatCode="#,##0.0"/>
    <numFmt numFmtId="181" formatCode="_(&quot;$&quot;* #,##0.000_);_(&quot;$&quot;* \(#,##0.000\);_(&quot;$&quot;* &quot;-&quot;??_);_(@_)"/>
    <numFmt numFmtId="182" formatCode="_(&quot;$&quot;* #,##0.0000_);_(&quot;$&quot;* \(#,##0.0000\);_(&quot;$&quot;* &quot;-&quot;??_);_(@_)"/>
    <numFmt numFmtId="183" formatCode="0.0000000000000000%"/>
    <numFmt numFmtId="184" formatCode="0.000000000000000%"/>
    <numFmt numFmtId="185" formatCode="_(* #,##0.000_);_(* \(#,##0.000\);_(* &quot;-&quot;??_);_(@_)"/>
    <numFmt numFmtId="186" formatCode="0.00000000"/>
    <numFmt numFmtId="187" formatCode="0.0000000"/>
    <numFmt numFmtId="188" formatCode="0.00000000000000000%"/>
    <numFmt numFmtId="189" formatCode="_(&quot;$&quot;* #,##0.0_);_(&quot;$&quot;* \(#,##0.0\);_(&quot;$&quot;* &quot;-&quot;?_);_(@_)"/>
    <numFmt numFmtId="190" formatCode="&quot;$&quot;#,##0.00"/>
    <numFmt numFmtId="191" formatCode="_(&quot;$&quot;* #,##0.0_);_(&quot;$&quot;* \(#,##0.0\);_(&quot;$&quot;* &quot;-&quot;_);_(@_)"/>
    <numFmt numFmtId="192" formatCode="_(* #,##0.00_);_(* \(#,##0.00\);_(* &quot;-&quot;?_);_(@_)"/>
    <numFmt numFmtId="193" formatCode="_(&quot;$&quot;* #,##0.000_);_(&quot;$&quot;* \(#,##0.000\);_(&quot;$&quot;* &quot;-&quot;???_);_(@_)"/>
    <numFmt numFmtId="194" formatCode="0_);\(0\)"/>
  </numFmts>
  <fonts count="24">
    <font>
      <sz val="9"/>
      <name val="Arial"/>
      <family val="0"/>
    </font>
    <font>
      <b/>
      <sz val="10"/>
      <name val="Arial"/>
      <family val="2"/>
    </font>
    <font>
      <sz val="8"/>
      <name val="Arial"/>
      <family val="0"/>
    </font>
    <font>
      <u val="single"/>
      <sz val="9"/>
      <color indexed="12"/>
      <name val="Arial"/>
      <family val="0"/>
    </font>
    <font>
      <b/>
      <sz val="9"/>
      <name val="Arial"/>
      <family val="2"/>
    </font>
    <font>
      <b/>
      <sz val="8"/>
      <name val="Arial"/>
      <family val="2"/>
    </font>
    <font>
      <i/>
      <sz val="8"/>
      <name val="Arial"/>
      <family val="2"/>
    </font>
    <font>
      <vertAlign val="superscript"/>
      <sz val="9"/>
      <name val="Arial"/>
      <family val="2"/>
    </font>
    <font>
      <sz val="10"/>
      <name val="Arial"/>
      <family val="2"/>
    </font>
    <font>
      <u val="single"/>
      <sz val="9"/>
      <name val="Arial"/>
      <family val="2"/>
    </font>
    <font>
      <i/>
      <sz val="10"/>
      <name val="Arial"/>
      <family val="2"/>
    </font>
    <font>
      <b/>
      <sz val="20"/>
      <name val="Arial"/>
      <family val="2"/>
    </font>
    <font>
      <sz val="9.75"/>
      <name val="Arial"/>
      <family val="0"/>
    </font>
    <font>
      <sz val="12"/>
      <name val="Arial"/>
      <family val="0"/>
    </font>
    <font>
      <b/>
      <sz val="12"/>
      <name val="Arial"/>
      <family val="0"/>
    </font>
    <font>
      <sz val="9"/>
      <color indexed="48"/>
      <name val="Arial"/>
      <family val="0"/>
    </font>
    <font>
      <b/>
      <sz val="8"/>
      <color indexed="48"/>
      <name val="Arial"/>
      <family val="2"/>
    </font>
    <font>
      <b/>
      <sz val="9"/>
      <color indexed="48"/>
      <name val="Arial"/>
      <family val="0"/>
    </font>
    <font>
      <sz val="9"/>
      <color indexed="14"/>
      <name val="Arial"/>
      <family val="0"/>
    </font>
    <font>
      <u val="single"/>
      <sz val="9"/>
      <color indexed="36"/>
      <name val="Arial"/>
      <family val="0"/>
    </font>
    <font>
      <b/>
      <sz val="11"/>
      <name val="Arial"/>
      <family val="2"/>
    </font>
    <font>
      <b/>
      <sz val="9"/>
      <color indexed="14"/>
      <name val="Arial"/>
      <family val="2"/>
    </font>
    <font>
      <sz val="9"/>
      <color indexed="12"/>
      <name val="Arial"/>
      <family val="0"/>
    </font>
    <font>
      <u val="single"/>
      <sz val="10"/>
      <name val="Arial"/>
      <family val="2"/>
    </font>
  </fonts>
  <fills count="2">
    <fill>
      <patternFill/>
    </fill>
    <fill>
      <patternFill patternType="gray125"/>
    </fill>
  </fills>
  <borders count="15">
    <border>
      <left/>
      <right/>
      <top/>
      <bottom/>
      <diagonal/>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60">
    <xf numFmtId="0" fontId="0" fillId="0" borderId="0" xfId="0" applyAlignment="1">
      <alignment/>
    </xf>
    <xf numFmtId="0" fontId="1" fillId="0" borderId="0" xfId="0" applyFont="1" applyAlignment="1">
      <alignment/>
    </xf>
    <xf numFmtId="165" fontId="0" fillId="0" borderId="0" xfId="17" applyNumberFormat="1" applyAlignment="1">
      <alignment/>
    </xf>
    <xf numFmtId="0" fontId="2" fillId="0" borderId="0" xfId="0" applyFont="1" applyAlignment="1">
      <alignment/>
    </xf>
    <xf numFmtId="176" fontId="0" fillId="0" borderId="0" xfId="0" applyNumberFormat="1" applyAlignment="1">
      <alignment/>
    </xf>
    <xf numFmtId="9" fontId="0" fillId="0" borderId="0" xfId="0" applyNumberFormat="1" applyAlignment="1">
      <alignment/>
    </xf>
    <xf numFmtId="9" fontId="0" fillId="0" borderId="0" xfId="21" applyAlignment="1">
      <alignment/>
    </xf>
    <xf numFmtId="2" fontId="0" fillId="0" borderId="0" xfId="0" applyNumberFormat="1" applyAlignment="1">
      <alignment/>
    </xf>
    <xf numFmtId="178" fontId="0" fillId="0" borderId="0" xfId="0" applyNumberFormat="1" applyAlignment="1">
      <alignment/>
    </xf>
    <xf numFmtId="0" fontId="4" fillId="0" borderId="0" xfId="0" applyFont="1" applyAlignment="1">
      <alignment/>
    </xf>
    <xf numFmtId="178" fontId="4" fillId="0" borderId="0" xfId="0" applyNumberFormat="1" applyFont="1" applyAlignment="1">
      <alignment/>
    </xf>
    <xf numFmtId="0" fontId="0" fillId="0" borderId="0" xfId="0" applyAlignment="1">
      <alignment horizontal="left" indent="1"/>
    </xf>
    <xf numFmtId="9" fontId="4" fillId="0" borderId="0" xfId="21" applyFont="1" applyAlignment="1">
      <alignment/>
    </xf>
    <xf numFmtId="0" fontId="5" fillId="0" borderId="0" xfId="0" applyFont="1" applyAlignment="1">
      <alignment horizontal="right"/>
    </xf>
    <xf numFmtId="0" fontId="5" fillId="0" borderId="0" xfId="0" applyFont="1" applyAlignment="1">
      <alignment/>
    </xf>
    <xf numFmtId="0" fontId="0" fillId="0" borderId="0" xfId="0" applyFont="1" applyAlignment="1">
      <alignment/>
    </xf>
    <xf numFmtId="179" fontId="0" fillId="0" borderId="0" xfId="21" applyNumberFormat="1" applyAlignment="1">
      <alignment/>
    </xf>
    <xf numFmtId="179" fontId="0" fillId="0" borderId="0" xfId="0" applyNumberFormat="1" applyAlignment="1">
      <alignment/>
    </xf>
    <xf numFmtId="165" fontId="0" fillId="0" borderId="0" xfId="0" applyNumberFormat="1" applyAlignment="1">
      <alignment/>
    </xf>
    <xf numFmtId="176" fontId="0" fillId="0" borderId="0" xfId="15" applyNumberFormat="1" applyFont="1" applyAlignment="1">
      <alignment/>
    </xf>
    <xf numFmtId="170" fontId="0" fillId="0" borderId="0" xfId="15" applyNumberFormat="1" applyFont="1" applyAlignment="1">
      <alignment/>
    </xf>
    <xf numFmtId="180" fontId="0" fillId="0" borderId="0" xfId="0" applyNumberFormat="1" applyAlignment="1">
      <alignment/>
    </xf>
    <xf numFmtId="44" fontId="0" fillId="0" borderId="0" xfId="17" applyAlignment="1">
      <alignment/>
    </xf>
    <xf numFmtId="43" fontId="0" fillId="0" borderId="0" xfId="15" applyNumberFormat="1" applyFont="1" applyAlignment="1">
      <alignment/>
    </xf>
    <xf numFmtId="43" fontId="0" fillId="0" borderId="0" xfId="0" applyNumberFormat="1" applyAlignment="1">
      <alignment/>
    </xf>
    <xf numFmtId="170" fontId="0" fillId="0" borderId="0" xfId="15" applyNumberFormat="1" applyAlignment="1">
      <alignment/>
    </xf>
    <xf numFmtId="174" fontId="0" fillId="0" borderId="0" xfId="0" applyNumberFormat="1" applyAlignment="1">
      <alignment/>
    </xf>
    <xf numFmtId="180" fontId="4" fillId="0" borderId="0" xfId="0" applyNumberFormat="1" applyFont="1" applyAlignment="1">
      <alignment/>
    </xf>
    <xf numFmtId="170" fontId="4" fillId="0" borderId="0" xfId="0" applyNumberFormat="1" applyFont="1" applyAlignment="1">
      <alignment/>
    </xf>
    <xf numFmtId="176" fontId="4" fillId="0" borderId="0" xfId="0" applyNumberFormat="1" applyFont="1" applyAlignment="1">
      <alignment/>
    </xf>
    <xf numFmtId="9" fontId="0" fillId="0" borderId="0" xfId="21" applyFont="1" applyAlignment="1">
      <alignment/>
    </xf>
    <xf numFmtId="179" fontId="0" fillId="0" borderId="0" xfId="21" applyNumberFormat="1" applyFont="1" applyAlignment="1">
      <alignment/>
    </xf>
    <xf numFmtId="9" fontId="2" fillId="0" borderId="0" xfId="21" applyFont="1" applyAlignment="1">
      <alignment/>
    </xf>
    <xf numFmtId="0" fontId="0" fillId="0" borderId="1" xfId="0" applyBorder="1" applyAlignment="1">
      <alignment/>
    </xf>
    <xf numFmtId="0" fontId="2" fillId="0" borderId="0" xfId="0" applyFont="1" applyAlignment="1">
      <alignment/>
    </xf>
    <xf numFmtId="43" fontId="4" fillId="0" borderId="0" xfId="0" applyNumberFormat="1" applyFont="1" applyAlignment="1">
      <alignment/>
    </xf>
    <xf numFmtId="44" fontId="0" fillId="0" borderId="0" xfId="0" applyNumberFormat="1" applyAlignment="1">
      <alignment/>
    </xf>
    <xf numFmtId="0" fontId="0" fillId="0" borderId="0" xfId="0" applyAlignment="1" quotePrefix="1">
      <alignment/>
    </xf>
    <xf numFmtId="179" fontId="4" fillId="0" borderId="0" xfId="21" applyNumberFormat="1" applyFont="1" applyAlignment="1">
      <alignment/>
    </xf>
    <xf numFmtId="165" fontId="0" fillId="0" borderId="0" xfId="17" applyNumberFormat="1" applyAlignment="1">
      <alignment/>
    </xf>
    <xf numFmtId="170" fontId="0" fillId="0" borderId="0" xfId="15" applyNumberFormat="1" applyAlignment="1">
      <alignment/>
    </xf>
    <xf numFmtId="9" fontId="0" fillId="0" borderId="0" xfId="21" applyAlignment="1">
      <alignment/>
    </xf>
    <xf numFmtId="179" fontId="0" fillId="0" borderId="0" xfId="21" applyNumberFormat="1" applyAlignment="1">
      <alignment/>
    </xf>
    <xf numFmtId="9" fontId="0" fillId="0" borderId="0" xfId="21" applyFont="1" applyAlignment="1">
      <alignment/>
    </xf>
    <xf numFmtId="179" fontId="0" fillId="0" borderId="0" xfId="21" applyNumberFormat="1" applyFont="1" applyAlignment="1">
      <alignment/>
    </xf>
    <xf numFmtId="0" fontId="0" fillId="0" borderId="0" xfId="0" applyFont="1" applyAlignment="1">
      <alignment/>
    </xf>
    <xf numFmtId="44" fontId="0" fillId="0" borderId="0" xfId="17" applyAlignment="1">
      <alignment/>
    </xf>
    <xf numFmtId="180" fontId="0" fillId="0" borderId="0" xfId="0" applyNumberFormat="1" applyFont="1" applyAlignment="1">
      <alignment/>
    </xf>
    <xf numFmtId="170" fontId="0" fillId="0" borderId="0" xfId="0" applyNumberFormat="1" applyFont="1" applyAlignment="1">
      <alignment/>
    </xf>
    <xf numFmtId="176" fontId="0" fillId="0" borderId="0" xfId="0" applyNumberFormat="1" applyFont="1" applyAlignment="1">
      <alignment/>
    </xf>
    <xf numFmtId="9" fontId="0" fillId="0" borderId="0" xfId="21" applyFont="1" applyAlignment="1">
      <alignment/>
    </xf>
    <xf numFmtId="165" fontId="4" fillId="0" borderId="0" xfId="17" applyNumberFormat="1" applyFont="1" applyAlignment="1">
      <alignment/>
    </xf>
    <xf numFmtId="170" fontId="0" fillId="0" borderId="0" xfId="0" applyNumberFormat="1" applyAlignment="1">
      <alignment/>
    </xf>
    <xf numFmtId="43" fontId="5" fillId="0" borderId="0" xfId="0" applyNumberFormat="1" applyFont="1" applyAlignment="1">
      <alignment/>
    </xf>
    <xf numFmtId="0" fontId="4" fillId="0" borderId="2" xfId="0" applyFont="1" applyBorder="1" applyAlignment="1">
      <alignment/>
    </xf>
    <xf numFmtId="0" fontId="4" fillId="0" borderId="3" xfId="0" applyFont="1" applyBorder="1" applyAlignment="1">
      <alignment/>
    </xf>
    <xf numFmtId="9" fontId="4" fillId="0" borderId="4" xfId="21" applyFont="1" applyBorder="1" applyAlignment="1">
      <alignment/>
    </xf>
    <xf numFmtId="0" fontId="4" fillId="0" borderId="5" xfId="0" applyFont="1" applyBorder="1" applyAlignment="1">
      <alignment/>
    </xf>
    <xf numFmtId="0" fontId="4" fillId="0" borderId="6" xfId="0" applyFont="1" applyBorder="1" applyAlignment="1">
      <alignment/>
    </xf>
    <xf numFmtId="9" fontId="4" fillId="0" borderId="7" xfId="0" applyNumberFormat="1" applyFont="1" applyBorder="1" applyAlignment="1">
      <alignment/>
    </xf>
    <xf numFmtId="44" fontId="0" fillId="0" borderId="0" xfId="17" applyNumberFormat="1" applyAlignment="1">
      <alignment/>
    </xf>
    <xf numFmtId="10" fontId="0" fillId="0" borderId="0" xfId="0" applyNumberFormat="1" applyAlignment="1">
      <alignment/>
    </xf>
    <xf numFmtId="2" fontId="0" fillId="0" borderId="0" xfId="17" applyNumberFormat="1" applyAlignment="1">
      <alignment/>
    </xf>
    <xf numFmtId="0" fontId="0" fillId="0" borderId="0" xfId="0" applyAlignment="1">
      <alignment horizontal="center"/>
    </xf>
    <xf numFmtId="0" fontId="8" fillId="0" borderId="0" xfId="0" applyFont="1" applyAlignment="1">
      <alignment/>
    </xf>
    <xf numFmtId="10" fontId="0" fillId="0" borderId="0" xfId="21" applyNumberFormat="1" applyAlignment="1">
      <alignment/>
    </xf>
    <xf numFmtId="0" fontId="10" fillId="0" borderId="0" xfId="0" applyFont="1" applyAlignment="1">
      <alignment/>
    </xf>
    <xf numFmtId="1" fontId="0" fillId="0" borderId="0" xfId="0" applyNumberFormat="1" applyAlignment="1">
      <alignment/>
    </xf>
    <xf numFmtId="0" fontId="2" fillId="0" borderId="1" xfId="0" applyFont="1" applyBorder="1" applyAlignment="1">
      <alignment horizontal="center"/>
    </xf>
    <xf numFmtId="0" fontId="5" fillId="0" borderId="1" xfId="0" applyFont="1" applyBorder="1" applyAlignment="1">
      <alignment horizontal="right"/>
    </xf>
    <xf numFmtId="0" fontId="0" fillId="0" borderId="1" xfId="0" applyBorder="1" applyAlignment="1">
      <alignment horizontal="center"/>
    </xf>
    <xf numFmtId="165" fontId="0" fillId="0" borderId="1" xfId="0" applyNumberFormat="1" applyBorder="1" applyAlignment="1">
      <alignment/>
    </xf>
    <xf numFmtId="170" fontId="0" fillId="0" borderId="1" xfId="15" applyNumberFormat="1" applyBorder="1" applyAlignment="1">
      <alignment/>
    </xf>
    <xf numFmtId="176" fontId="0" fillId="0" borderId="1" xfId="15" applyNumberFormat="1" applyFont="1" applyBorder="1" applyAlignment="1">
      <alignment/>
    </xf>
    <xf numFmtId="2" fontId="0" fillId="0" borderId="1" xfId="0" applyNumberFormat="1" applyBorder="1" applyAlignment="1">
      <alignment/>
    </xf>
    <xf numFmtId="43" fontId="0" fillId="0" borderId="1" xfId="0" applyNumberFormat="1" applyBorder="1" applyAlignment="1">
      <alignment/>
    </xf>
    <xf numFmtId="0" fontId="4" fillId="0" borderId="1" xfId="0" applyFont="1" applyBorder="1" applyAlignment="1">
      <alignment/>
    </xf>
    <xf numFmtId="170" fontId="4" fillId="0" borderId="1" xfId="0" applyNumberFormat="1" applyFont="1" applyBorder="1" applyAlignment="1">
      <alignment/>
    </xf>
    <xf numFmtId="176" fontId="4" fillId="0" borderId="1" xfId="0" applyNumberFormat="1" applyFont="1" applyBorder="1" applyAlignment="1">
      <alignment/>
    </xf>
    <xf numFmtId="0" fontId="2" fillId="0" borderId="1" xfId="0" applyFont="1" applyBorder="1" applyAlignment="1">
      <alignment/>
    </xf>
    <xf numFmtId="9" fontId="0" fillId="0" borderId="1" xfId="21" applyBorder="1" applyAlignment="1">
      <alignment/>
    </xf>
    <xf numFmtId="0" fontId="5" fillId="0" borderId="1" xfId="0" applyFont="1" applyBorder="1" applyAlignment="1">
      <alignment/>
    </xf>
    <xf numFmtId="0" fontId="2" fillId="0" borderId="8" xfId="0" applyFont="1" applyBorder="1" applyAlignment="1">
      <alignment horizontal="center"/>
    </xf>
    <xf numFmtId="0" fontId="2" fillId="0" borderId="9" xfId="0" applyFont="1" applyBorder="1" applyAlignment="1">
      <alignment horizontal="center"/>
    </xf>
    <xf numFmtId="49" fontId="2" fillId="0" borderId="10" xfId="0" applyNumberFormat="1" applyFont="1" applyBorder="1" applyAlignment="1">
      <alignment horizontal="center"/>
    </xf>
    <xf numFmtId="0" fontId="8" fillId="0" borderId="1" xfId="0" applyFont="1" applyBorder="1" applyAlignment="1">
      <alignment/>
    </xf>
    <xf numFmtId="170" fontId="0" fillId="0" borderId="1" xfId="0" applyNumberFormat="1" applyFont="1" applyBorder="1" applyAlignment="1">
      <alignment/>
    </xf>
    <xf numFmtId="176" fontId="0" fillId="0" borderId="1" xfId="0" applyNumberFormat="1" applyFont="1" applyBorder="1" applyAlignment="1">
      <alignment/>
    </xf>
    <xf numFmtId="0" fontId="2" fillId="0" borderId="4" xfId="0" applyFont="1" applyBorder="1" applyAlignment="1">
      <alignment horizontal="center"/>
    </xf>
    <xf numFmtId="49" fontId="2" fillId="0" borderId="7" xfId="0" applyNumberFormat="1" applyFont="1" applyBorder="1" applyAlignment="1">
      <alignment horizontal="center"/>
    </xf>
    <xf numFmtId="44" fontId="0" fillId="0" borderId="1" xfId="0" applyNumberFormat="1" applyBorder="1" applyAlignment="1">
      <alignment/>
    </xf>
    <xf numFmtId="9" fontId="0" fillId="0" borderId="1" xfId="21" applyBorder="1" applyAlignment="1">
      <alignment/>
    </xf>
    <xf numFmtId="170" fontId="0" fillId="0" borderId="1" xfId="15" applyNumberFormat="1" applyBorder="1" applyAlignment="1">
      <alignment/>
    </xf>
    <xf numFmtId="178" fontId="0" fillId="0" borderId="1" xfId="0" applyNumberFormat="1" applyBorder="1" applyAlignment="1">
      <alignment/>
    </xf>
    <xf numFmtId="165" fontId="15" fillId="0" borderId="0" xfId="17" applyNumberFormat="1" applyFont="1" applyAlignment="1">
      <alignment/>
    </xf>
    <xf numFmtId="0" fontId="16" fillId="0" borderId="1" xfId="0" applyFont="1" applyBorder="1" applyAlignment="1">
      <alignment horizontal="right"/>
    </xf>
    <xf numFmtId="0" fontId="16" fillId="0" borderId="0" xfId="0" applyFont="1" applyAlignment="1">
      <alignment horizontal="right"/>
    </xf>
    <xf numFmtId="0" fontId="2" fillId="0" borderId="0" xfId="0" applyFont="1" applyFill="1" applyBorder="1" applyAlignment="1">
      <alignment horizontal="center"/>
    </xf>
    <xf numFmtId="0" fontId="2" fillId="0" borderId="10" xfId="0" applyFont="1" applyFill="1" applyBorder="1" applyAlignment="1">
      <alignment horizontal="center"/>
    </xf>
    <xf numFmtId="0" fontId="15" fillId="0" borderId="0" xfId="0" applyFont="1" applyAlignment="1">
      <alignment/>
    </xf>
    <xf numFmtId="0" fontId="18" fillId="0" borderId="0" xfId="0" applyFont="1" applyAlignment="1">
      <alignment/>
    </xf>
    <xf numFmtId="9" fontId="18" fillId="0" borderId="0" xfId="0" applyNumberFormat="1" applyFont="1" applyAlignment="1">
      <alignment/>
    </xf>
    <xf numFmtId="179" fontId="18" fillId="0" borderId="0" xfId="0" applyNumberFormat="1" applyFont="1" applyAlignment="1">
      <alignment/>
    </xf>
    <xf numFmtId="44" fontId="18" fillId="0" borderId="0" xfId="17" applyNumberFormat="1" applyFont="1" applyAlignment="1">
      <alignment/>
    </xf>
    <xf numFmtId="0" fontId="18" fillId="0" borderId="0" xfId="0" applyFont="1" applyAlignment="1">
      <alignment horizontal="right"/>
    </xf>
    <xf numFmtId="2" fontId="5" fillId="0" borderId="0" xfId="0" applyNumberFormat="1" applyFont="1" applyAlignment="1">
      <alignment/>
    </xf>
    <xf numFmtId="0" fontId="0" fillId="0" borderId="0" xfId="0" applyAlignment="1">
      <alignment wrapText="1"/>
    </xf>
    <xf numFmtId="0" fontId="20" fillId="0" borderId="0" xfId="0" applyFont="1" applyAlignment="1">
      <alignment/>
    </xf>
    <xf numFmtId="0" fontId="0" fillId="0" borderId="1" xfId="0" applyBorder="1" applyAlignment="1">
      <alignment wrapText="1"/>
    </xf>
    <xf numFmtId="0" fontId="21" fillId="0" borderId="0" xfId="0" applyFont="1" applyAlignment="1">
      <alignment/>
    </xf>
    <xf numFmtId="0" fontId="5" fillId="0" borderId="2" xfId="0" applyFont="1" applyBorder="1" applyAlignment="1">
      <alignment/>
    </xf>
    <xf numFmtId="0" fontId="4" fillId="0" borderId="4" xfId="0" applyFont="1" applyBorder="1" applyAlignment="1">
      <alignment/>
    </xf>
    <xf numFmtId="0" fontId="5" fillId="0" borderId="11" xfId="0" applyFont="1" applyBorder="1" applyAlignment="1">
      <alignment/>
    </xf>
    <xf numFmtId="0" fontId="0" fillId="0" borderId="1" xfId="0" applyFont="1" applyBorder="1" applyAlignment="1">
      <alignment/>
    </xf>
    <xf numFmtId="0" fontId="22" fillId="0" borderId="0" xfId="0" applyFont="1" applyAlignment="1">
      <alignment/>
    </xf>
    <xf numFmtId="170" fontId="22" fillId="0" borderId="0" xfId="15" applyNumberFormat="1" applyFont="1" applyAlignment="1">
      <alignment/>
    </xf>
    <xf numFmtId="165" fontId="22" fillId="0" borderId="1" xfId="0" applyNumberFormat="1" applyFont="1" applyBorder="1" applyAlignment="1">
      <alignment/>
    </xf>
    <xf numFmtId="44" fontId="22" fillId="0" borderId="0" xfId="17" applyFont="1" applyAlignment="1">
      <alignment/>
    </xf>
    <xf numFmtId="0" fontId="22" fillId="0" borderId="1" xfId="0" applyFont="1" applyBorder="1" applyAlignment="1">
      <alignment/>
    </xf>
    <xf numFmtId="0" fontId="8" fillId="0" borderId="0" xfId="0" applyFont="1" applyAlignment="1" quotePrefix="1">
      <alignment/>
    </xf>
    <xf numFmtId="0" fontId="0" fillId="0" borderId="1" xfId="0" applyBorder="1" applyAlignment="1">
      <alignment/>
    </xf>
    <xf numFmtId="2" fontId="2" fillId="0" borderId="1" xfId="0" applyNumberFormat="1" applyFont="1" applyBorder="1" applyAlignment="1">
      <alignment/>
    </xf>
    <xf numFmtId="165" fontId="22" fillId="0" borderId="0" xfId="17" applyNumberFormat="1" applyFont="1" applyAlignment="1">
      <alignment/>
    </xf>
    <xf numFmtId="1" fontId="2" fillId="0" borderId="0" xfId="0" applyNumberFormat="1" applyFont="1" applyAlignment="1">
      <alignment horizontal="right"/>
    </xf>
    <xf numFmtId="194" fontId="18" fillId="0" borderId="0" xfId="17" applyNumberFormat="1" applyFont="1" applyAlignment="1">
      <alignment/>
    </xf>
    <xf numFmtId="170" fontId="0" fillId="0" borderId="0" xfId="15" applyNumberFormat="1" applyFont="1" applyAlignment="1">
      <alignment/>
    </xf>
    <xf numFmtId="176" fontId="0" fillId="0" borderId="0" xfId="15" applyNumberFormat="1" applyAlignment="1">
      <alignment/>
    </xf>
    <xf numFmtId="0" fontId="8" fillId="0" borderId="11" xfId="0" applyFont="1" applyBorder="1" applyAlignment="1">
      <alignment/>
    </xf>
    <xf numFmtId="0" fontId="0" fillId="0" borderId="11" xfId="0" applyBorder="1" applyAlignment="1">
      <alignment/>
    </xf>
    <xf numFmtId="43" fontId="0" fillId="0" borderId="11" xfId="0" applyNumberFormat="1" applyBorder="1" applyAlignment="1">
      <alignment/>
    </xf>
    <xf numFmtId="0" fontId="1" fillId="0" borderId="12" xfId="0" applyFont="1" applyBorder="1" applyAlignment="1">
      <alignment/>
    </xf>
    <xf numFmtId="0" fontId="8" fillId="0" borderId="13" xfId="0" applyFont="1" applyBorder="1" applyAlignment="1">
      <alignment/>
    </xf>
    <xf numFmtId="0" fontId="8" fillId="0" borderId="14" xfId="0" applyFont="1" applyBorder="1" applyAlignment="1">
      <alignment/>
    </xf>
    <xf numFmtId="165" fontId="5" fillId="0" borderId="0" xfId="17" applyNumberFormat="1" applyFont="1" applyAlignment="1">
      <alignment/>
    </xf>
    <xf numFmtId="176" fontId="4" fillId="0" borderId="1" xfId="15" applyNumberFormat="1" applyFont="1" applyBorder="1" applyAlignment="1">
      <alignment/>
    </xf>
    <xf numFmtId="174" fontId="0" fillId="0" borderId="0" xfId="0" applyNumberFormat="1" applyFont="1" applyAlignment="1">
      <alignment/>
    </xf>
    <xf numFmtId="0" fontId="8" fillId="0" borderId="0" xfId="0" applyFont="1" applyAlignment="1">
      <alignment/>
    </xf>
    <xf numFmtId="0" fontId="2" fillId="0" borderId="0" xfId="0" applyFont="1" applyAlignment="1">
      <alignment wrapText="1"/>
    </xf>
    <xf numFmtId="0" fontId="0" fillId="0" borderId="0" xfId="0" applyAlignment="1">
      <alignment wrapText="1"/>
    </xf>
    <xf numFmtId="0" fontId="0" fillId="0" borderId="1" xfId="0" applyBorder="1" applyAlignment="1">
      <alignment wrapText="1"/>
    </xf>
    <xf numFmtId="179" fontId="0" fillId="0" borderId="11" xfId="21" applyNumberFormat="1" applyFont="1" applyBorder="1" applyAlignment="1">
      <alignment horizontal="center"/>
    </xf>
    <xf numFmtId="179" fontId="0" fillId="0" borderId="1" xfId="21" applyNumberFormat="1" applyFont="1" applyBorder="1" applyAlignment="1">
      <alignment horizontal="center"/>
    </xf>
    <xf numFmtId="179" fontId="0" fillId="0" borderId="5" xfId="21" applyNumberFormat="1" applyFont="1" applyBorder="1" applyAlignment="1">
      <alignment horizontal="center"/>
    </xf>
    <xf numFmtId="179" fontId="0" fillId="0" borderId="7" xfId="21" applyNumberFormat="1" applyFont="1" applyBorder="1" applyAlignment="1">
      <alignment horizontal="center"/>
    </xf>
    <xf numFmtId="0" fontId="0" fillId="0" borderId="0" xfId="0" applyFont="1" applyAlignment="1">
      <alignment wrapText="1"/>
    </xf>
    <xf numFmtId="0" fontId="0" fillId="0" borderId="1" xfId="0" applyFont="1" applyBorder="1" applyAlignment="1">
      <alignment wrapText="1"/>
    </xf>
    <xf numFmtId="0" fontId="21" fillId="0" borderId="0" xfId="0" applyFont="1" applyAlignment="1">
      <alignment wrapText="1"/>
    </xf>
    <xf numFmtId="0" fontId="4" fillId="0" borderId="0" xfId="0" applyFont="1" applyAlignment="1">
      <alignment wrapText="1"/>
    </xf>
    <xf numFmtId="0" fontId="5" fillId="0" borderId="0" xfId="0" applyFont="1" applyAlignment="1">
      <alignment wrapText="1"/>
    </xf>
    <xf numFmtId="0" fontId="2" fillId="0" borderId="0" xfId="0" applyFont="1" applyAlignment="1">
      <alignment wrapText="1"/>
    </xf>
    <xf numFmtId="0" fontId="2" fillId="0" borderId="1" xfId="0" applyFont="1" applyBorder="1" applyAlignment="1">
      <alignment wrapText="1"/>
    </xf>
    <xf numFmtId="0" fontId="0" fillId="0" borderId="0" xfId="0" applyAlignment="1">
      <alignment horizontal="center"/>
    </xf>
    <xf numFmtId="10" fontId="0" fillId="0" borderId="1" xfId="0" applyNumberFormat="1" applyBorder="1" applyAlignment="1">
      <alignment/>
    </xf>
    <xf numFmtId="9" fontId="0" fillId="0" borderId="1" xfId="0" applyNumberFormat="1" applyBorder="1" applyAlignment="1">
      <alignment/>
    </xf>
    <xf numFmtId="9" fontId="4" fillId="0" borderId="0" xfId="21" applyNumberFormat="1" applyFont="1" applyAlignment="1">
      <alignment/>
    </xf>
    <xf numFmtId="0" fontId="2" fillId="0" borderId="11" xfId="0" applyFont="1" applyBorder="1" applyAlignment="1">
      <alignment wrapText="1"/>
    </xf>
    <xf numFmtId="185" fontId="0" fillId="0" borderId="0" xfId="15" applyNumberFormat="1" applyFont="1" applyAlignment="1">
      <alignment/>
    </xf>
    <xf numFmtId="44" fontId="4" fillId="0" borderId="0" xfId="0" applyNumberFormat="1" applyFont="1" applyAlignment="1">
      <alignment/>
    </xf>
    <xf numFmtId="0" fontId="1" fillId="0" borderId="0" xfId="0" applyFont="1" applyBorder="1" applyAlignment="1">
      <alignment/>
    </xf>
    <xf numFmtId="0" fontId="8" fillId="0" borderId="0"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U.S. CO2 Emissions: 10-10 Plan</a:t>
            </a:r>
          </a:p>
        </c:rich>
      </c:tx>
      <c:layout>
        <c:manualLayout>
          <c:xMode val="factor"/>
          <c:yMode val="factor"/>
          <c:x val="0.00175"/>
          <c:y val="0.0325"/>
        </c:manualLayout>
      </c:layout>
      <c:spPr>
        <a:noFill/>
        <a:ln>
          <a:noFill/>
        </a:ln>
      </c:spPr>
    </c:title>
    <c:plotArea>
      <c:layout>
        <c:manualLayout>
          <c:xMode val="edge"/>
          <c:yMode val="edge"/>
          <c:x val="0.103"/>
          <c:y val="0.15175"/>
          <c:w val="0.78875"/>
          <c:h val="0.82075"/>
        </c:manualLayout>
      </c:layout>
      <c:lineChart>
        <c:grouping val="standard"/>
        <c:varyColors val="0"/>
        <c:ser>
          <c:idx val="0"/>
          <c:order val="0"/>
          <c:tx>
            <c:v>No Carbon Tax</c:v>
          </c:tx>
          <c:extLst>
            <c:ext xmlns:c14="http://schemas.microsoft.com/office/drawing/2007/8/2/chart" uri="{6F2FDCE9-48DA-4B69-8628-5D25D57E5C99}">
              <c14:invertSolidFillFmt>
                <c14:spPr>
                  <a:solidFill>
                    <a:srgbClr val="000000"/>
                  </a:solidFill>
                </c14:spPr>
              </c14:invertSolidFillFmt>
            </c:ext>
          </c:extLst>
          <c:cat>
            <c:numRef>
              <c:f>Graph!$F$6:$AC$6</c:f>
              <c:numCache/>
            </c:numRef>
          </c:cat>
          <c:val>
            <c:numRef>
              <c:f>Graph!$F$8:$AC$8</c:f>
              <c:numCache>
                <c:ptCount val="24"/>
                <c:pt idx="0">
                  <c:v>5982.046802176086</c:v>
                </c:pt>
                <c:pt idx="1">
                  <c:v>6125.906967534369</c:v>
                </c:pt>
                <c:pt idx="2">
                  <c:v>6215.285597944321</c:v>
                </c:pt>
                <c:pt idx="3">
                  <c:v>6306.059415518274</c:v>
                </c:pt>
                <c:pt idx="4">
                  <c:v>6398.252281364235</c:v>
                </c:pt>
                <c:pt idx="5">
                  <c:v>6491.888515486537</c:v>
                </c:pt>
                <c:pt idx="6">
                  <c:v>6586.992906828484</c:v>
                </c:pt>
                <c:pt idx="7">
                  <c:v>6683.590723561718</c:v>
                </c:pt>
                <c:pt idx="8">
                  <c:v>6781.707723628869</c:v>
                </c:pt>
                <c:pt idx="9">
                  <c:v>6881.370165546323</c:v>
                </c:pt>
                <c:pt idx="10">
                  <c:v>6982.604819474042</c:v>
                </c:pt>
                <c:pt idx="11">
                  <c:v>7085.438978559625</c:v>
                </c:pt>
                <c:pt idx="12">
                  <c:v>7189.900470563957</c:v>
                </c:pt>
                <c:pt idx="13">
                  <c:v>7296.017669776089</c:v>
                </c:pt>
                <c:pt idx="14">
                  <c:v>7403.819509225043</c:v>
                </c:pt>
                <c:pt idx="15">
                  <c:v>7513.335493196671</c:v>
                </c:pt>
                <c:pt idx="16">
                  <c:v>7624.595710063733</c:v>
                </c:pt>
                <c:pt idx="17">
                  <c:v>7737.630845437696</c:v>
                </c:pt>
                <c:pt idx="18">
                  <c:v>7852.472195650975</c:v>
                </c:pt>
                <c:pt idx="19">
                  <c:v>7969.151681578592</c:v>
                </c:pt>
                <c:pt idx="20">
                  <c:v>8087.701862808448</c:v>
                </c:pt>
              </c:numCache>
            </c:numRef>
          </c:val>
          <c:smooth val="0"/>
        </c:ser>
        <c:ser>
          <c:idx val="1"/>
          <c:order val="1"/>
          <c:tx>
            <c:v>Annual $10/ton(C) + 10c/gal</c:v>
          </c:tx>
          <c:extLst>
            <c:ext xmlns:c14="http://schemas.microsoft.com/office/drawing/2007/8/2/chart" uri="{6F2FDCE9-48DA-4B69-8628-5D25D57E5C99}">
              <c14:invertSolidFillFmt>
                <c14:spPr>
                  <a:solidFill>
                    <a:srgbClr val="000000"/>
                  </a:solidFill>
                </c14:spPr>
              </c14:invertSolidFillFmt>
            </c:ext>
          </c:extLst>
          <c:cat>
            <c:numRef>
              <c:f>Graph!$F$6:$AC$6</c:f>
              <c:numCache/>
            </c:numRef>
          </c:cat>
          <c:val>
            <c:numRef>
              <c:f>Graph!$F$9:$AC$9</c:f>
              <c:numCache>
                <c:ptCount val="24"/>
                <c:pt idx="0">
                  <c:v>5982.046802176086</c:v>
                </c:pt>
                <c:pt idx="1">
                  <c:v>6088.5867295715525</c:v>
                </c:pt>
                <c:pt idx="2">
                  <c:v>6131.94609013173</c:v>
                </c:pt>
                <c:pt idx="3">
                  <c:v>6168.07986667045</c:v>
                </c:pt>
                <c:pt idx="4">
                  <c:v>6197.108959159563</c:v>
                </c:pt>
                <c:pt idx="5">
                  <c:v>6219.172023491879</c:v>
                </c:pt>
                <c:pt idx="6">
                  <c:v>6234.4239842033185</c:v>
                </c:pt>
                <c:pt idx="7">
                  <c:v>6243.034544466287</c:v>
                </c:pt>
                <c:pt idx="8">
                  <c:v>6245.186704974899</c:v>
                </c:pt>
                <c:pt idx="9">
                  <c:v>6241.075301932306</c:v>
                </c:pt>
                <c:pt idx="10">
                  <c:v>6230.90557307893</c:v>
                </c:pt>
                <c:pt idx="11">
                  <c:v>6223.149727864564</c:v>
                </c:pt>
                <c:pt idx="12">
                  <c:v>6217.665522738107</c:v>
                </c:pt>
                <c:pt idx="13">
                  <c:v>6214.326200676574</c:v>
                </c:pt>
                <c:pt idx="14">
                  <c:v>6218.543529671651</c:v>
                </c:pt>
                <c:pt idx="15">
                  <c:v>6230.0856601416135</c:v>
                </c:pt>
                <c:pt idx="16">
                  <c:v>6248.763088633965</c:v>
                </c:pt>
                <c:pt idx="17">
                  <c:v>6274.424661634219</c:v>
                </c:pt>
                <c:pt idx="18">
                  <c:v>6306.954259375163</c:v>
                </c:pt>
                <c:pt idx="19">
                  <c:v>6346.268049389803</c:v>
                </c:pt>
                <c:pt idx="20">
                  <c:v>6392.312222287686</c:v>
                </c:pt>
              </c:numCache>
            </c:numRef>
          </c:val>
          <c:smooth val="0"/>
        </c:ser>
        <c:marker val="1"/>
        <c:axId val="19158484"/>
        <c:axId val="38208629"/>
      </c:lineChart>
      <c:catAx>
        <c:axId val="19158484"/>
        <c:scaling>
          <c:orientation val="minMax"/>
        </c:scaling>
        <c:axPos val="b"/>
        <c:delete val="0"/>
        <c:numFmt formatCode="General" sourceLinked="1"/>
        <c:majorTickMark val="out"/>
        <c:minorTickMark val="none"/>
        <c:tickLblPos val="nextTo"/>
        <c:crossAx val="38208629"/>
        <c:crosses val="autoZero"/>
        <c:auto val="1"/>
        <c:lblOffset val="100"/>
        <c:noMultiLvlLbl val="0"/>
      </c:catAx>
      <c:valAx>
        <c:axId val="38208629"/>
        <c:scaling>
          <c:orientation val="minMax"/>
        </c:scaling>
        <c:axPos val="l"/>
        <c:title>
          <c:tx>
            <c:rich>
              <a:bodyPr vert="horz" rot="-5400000" anchor="ctr"/>
              <a:lstStyle/>
              <a:p>
                <a:pPr algn="ctr">
                  <a:defRPr/>
                </a:pPr>
                <a:r>
                  <a:rPr lang="en-US" cap="none" sz="1200" b="1" i="0" u="none" baseline="0">
                    <a:latin typeface="Arial"/>
                    <a:ea typeface="Arial"/>
                    <a:cs typeface="Arial"/>
                  </a:rPr>
                  <a:t>Millions of Metric Tons</a:t>
                </a:r>
              </a:p>
            </c:rich>
          </c:tx>
          <c:layout>
            <c:manualLayout>
              <c:xMode val="factor"/>
              <c:yMode val="factor"/>
              <c:x val="-0.00375"/>
              <c:y val="-0.00125"/>
            </c:manualLayout>
          </c:layout>
          <c:overlay val="0"/>
          <c:spPr>
            <a:noFill/>
            <a:ln>
              <a:noFill/>
            </a:ln>
          </c:spPr>
        </c:title>
        <c:majorGridlines/>
        <c:delete val="0"/>
        <c:numFmt formatCode="General" sourceLinked="1"/>
        <c:majorTickMark val="out"/>
        <c:minorTickMark val="none"/>
        <c:tickLblPos val="nextTo"/>
        <c:crossAx val="19158484"/>
        <c:crossesAt val="1"/>
        <c:crossBetween val="midCat"/>
        <c:dispUnits/>
      </c:valAx>
      <c:spPr>
        <a:solidFill>
          <a:srgbClr val="C0C0C0"/>
        </a:solidFill>
        <a:ln w="12700">
          <a:solidFill>
            <a:srgbClr val="808080"/>
          </a:solidFill>
        </a:ln>
      </c:spPr>
    </c:plotArea>
    <c:legend>
      <c:legendPos val="r"/>
      <c:layout>
        <c:manualLayout>
          <c:xMode val="edge"/>
          <c:yMode val="edge"/>
          <c:x val="0.7875"/>
          <c:y val="0.7675"/>
          <c:w val="0.2125"/>
          <c:h val="0.1225"/>
        </c:manualLayout>
      </c:layout>
      <c:overlay val="0"/>
      <c:txPr>
        <a:bodyPr vert="horz" rot="0"/>
        <a:lstStyle/>
        <a:p>
          <a:pPr>
            <a:defRPr lang="en-US" cap="none" sz="975"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xdr:row>
      <xdr:rowOff>9525</xdr:rowOff>
    </xdr:from>
    <xdr:to>
      <xdr:col>12</xdr:col>
      <xdr:colOff>581025</xdr:colOff>
      <xdr:row>47</xdr:row>
      <xdr:rowOff>123825</xdr:rowOff>
    </xdr:to>
    <xdr:graphicFrame>
      <xdr:nvGraphicFramePr>
        <xdr:cNvPr id="1" name="Chart 1"/>
        <xdr:cNvGraphicFramePr/>
      </xdr:nvGraphicFramePr>
      <xdr:xfrm>
        <a:off x="47625" y="2133600"/>
        <a:ext cx="7991475" cy="5143500"/>
      </xdr:xfrm>
      <a:graphic>
        <a:graphicData uri="http://schemas.openxmlformats.org/drawingml/2006/chart">
          <c:chart xmlns:c="http://schemas.openxmlformats.org/drawingml/2006/chart" r:id="rId1"/>
        </a:graphicData>
      </a:graphic>
    </xdr:graphicFrame>
    <xdr:clientData/>
  </xdr:twoCellAnchor>
  <xdr:oneCellAnchor>
    <xdr:from>
      <xdr:col>11</xdr:col>
      <xdr:colOff>342900</xdr:colOff>
      <xdr:row>14</xdr:row>
      <xdr:rowOff>142875</xdr:rowOff>
    </xdr:from>
    <xdr:ext cx="828675" cy="3724275"/>
    <xdr:sp>
      <xdr:nvSpPr>
        <xdr:cNvPr id="2" name="TextBox 2"/>
        <xdr:cNvSpPr txBox="1">
          <a:spLocks noChangeArrowheads="1"/>
        </xdr:cNvSpPr>
      </xdr:nvSpPr>
      <xdr:spPr>
        <a:xfrm>
          <a:off x="7191375" y="2266950"/>
          <a:ext cx="828675" cy="3724275"/>
        </a:xfrm>
        <a:prstGeom prst="rect">
          <a:avLst/>
        </a:prstGeom>
        <a:noFill/>
        <a:ln w="9525" cmpd="sng">
          <a:noFill/>
        </a:ln>
      </xdr:spPr>
      <xdr:txBody>
        <a:bodyPr vertOverflow="clip" wrap="square"/>
        <a:p>
          <a:pPr algn="l">
            <a:defRPr/>
          </a:pPr>
          <a:r>
            <a:rPr lang="en-US" cap="none" sz="900" b="1" i="0" u="none" baseline="0">
              <a:latin typeface="Arial"/>
              <a:ea typeface="Arial"/>
              <a:cs typeface="Arial"/>
            </a:rPr>
            <a:t>This plan increments the tax over five years, beginning in 2008 and ending in 2012. Here, we repeat this process three times, in 2013-2017, 2018-2022 and 2023-2027, so that the graph actually reflects a $200 / ton and $2.00 / gallon tax incremented over 20 yrs.</a:t>
          </a:r>
        </a:p>
      </xdr:txBody>
    </xdr:sp>
    <xdr:clientData/>
  </xdr:oneCellAnchor>
  <xdr:oneCellAnchor>
    <xdr:from>
      <xdr:col>5</xdr:col>
      <xdr:colOff>76200</xdr:colOff>
      <xdr:row>36</xdr:row>
      <xdr:rowOff>114300</xdr:rowOff>
    </xdr:from>
    <xdr:ext cx="1781175" cy="619125"/>
    <xdr:sp>
      <xdr:nvSpPr>
        <xdr:cNvPr id="3" name="TextBox 3"/>
        <xdr:cNvSpPr txBox="1">
          <a:spLocks noChangeArrowheads="1"/>
        </xdr:cNvSpPr>
      </xdr:nvSpPr>
      <xdr:spPr>
        <a:xfrm>
          <a:off x="3267075" y="5591175"/>
          <a:ext cx="1781175" cy="619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ther"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the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eia.doe.gov/emeu/mer/append_a.html,%20Table%20A3."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129"/>
  <sheetViews>
    <sheetView tabSelected="1" workbookViewId="0" topLeftCell="A1">
      <selection activeCell="A7" sqref="A7"/>
    </sheetView>
  </sheetViews>
  <sheetFormatPr defaultColWidth="9.140625" defaultRowHeight="12"/>
  <cols>
    <col min="1" max="8" width="10.140625" style="0" customWidth="1"/>
    <col min="9" max="9" width="10.140625" style="33" customWidth="1"/>
    <col min="10" max="10" width="10.140625" style="0" customWidth="1"/>
    <col min="11" max="32" width="9.57421875" style="0" customWidth="1"/>
    <col min="33" max="16384" width="10.140625" style="0" customWidth="1"/>
  </cols>
  <sheetData>
    <row r="1" spans="1:22" s="9" customFormat="1" ht="13.5">
      <c r="A1" s="107" t="s">
        <v>2</v>
      </c>
      <c r="I1" s="76"/>
      <c r="V1" s="45" t="s">
        <v>173</v>
      </c>
    </row>
    <row r="2" ht="12.75">
      <c r="A2" s="64" t="s">
        <v>24</v>
      </c>
    </row>
    <row r="3" ht="12.75">
      <c r="A3" s="136" t="s">
        <v>239</v>
      </c>
    </row>
    <row r="4" ht="13.5" thickBot="1">
      <c r="A4" s="119"/>
    </row>
    <row r="5" spans="1:6" ht="13.5" thickBot="1">
      <c r="A5" s="1" t="s">
        <v>26</v>
      </c>
      <c r="D5" s="130" t="s">
        <v>23</v>
      </c>
      <c r="E5" s="131"/>
      <c r="F5" s="132"/>
    </row>
    <row r="6" spans="1:6" ht="12.75">
      <c r="A6" s="1"/>
      <c r="D6" s="158"/>
      <c r="E6" s="159"/>
      <c r="F6" s="159"/>
    </row>
    <row r="7" spans="1:6" ht="12.75">
      <c r="A7" s="45" t="s">
        <v>3</v>
      </c>
      <c r="D7" s="158"/>
      <c r="E7" s="159"/>
      <c r="F7" s="159"/>
    </row>
    <row r="8" spans="1:6" ht="12.75">
      <c r="A8" s="45" t="s">
        <v>4</v>
      </c>
      <c r="D8" s="158"/>
      <c r="E8" s="159"/>
      <c r="F8" s="159"/>
    </row>
    <row r="9" spans="1:4" ht="12.75">
      <c r="A9" s="1"/>
      <c r="D9" s="9"/>
    </row>
    <row r="10" spans="1:9" s="64" customFormat="1" ht="12" customHeight="1">
      <c r="A10" s="144" t="s">
        <v>237</v>
      </c>
      <c r="B10" s="144"/>
      <c r="C10" s="144"/>
      <c r="D10" s="144"/>
      <c r="E10" s="144"/>
      <c r="F10" s="144"/>
      <c r="G10" s="144"/>
      <c r="H10" s="144"/>
      <c r="I10" s="145"/>
    </row>
    <row r="11" spans="1:9" s="64" customFormat="1" ht="12" customHeight="1">
      <c r="A11" s="144"/>
      <c r="B11" s="144"/>
      <c r="C11" s="144"/>
      <c r="D11" s="144"/>
      <c r="E11" s="144"/>
      <c r="F11" s="144"/>
      <c r="G11" s="144"/>
      <c r="H11" s="144"/>
      <c r="I11" s="145"/>
    </row>
    <row r="12" spans="1:9" s="64" customFormat="1" ht="12" customHeight="1">
      <c r="A12" s="144"/>
      <c r="B12" s="144"/>
      <c r="C12" s="144"/>
      <c r="D12" s="144"/>
      <c r="E12" s="144"/>
      <c r="F12" s="144"/>
      <c r="G12" s="144"/>
      <c r="H12" s="144"/>
      <c r="I12" s="145"/>
    </row>
    <row r="13" spans="1:9" s="64" customFormat="1" ht="12.75">
      <c r="A13" s="106"/>
      <c r="B13" s="106"/>
      <c r="C13" s="106"/>
      <c r="D13" s="106"/>
      <c r="E13" s="106"/>
      <c r="F13" s="106"/>
      <c r="G13" s="106"/>
      <c r="H13" s="106"/>
      <c r="I13" s="108"/>
    </row>
    <row r="14" spans="1:10" s="64" customFormat="1" ht="12" customHeight="1">
      <c r="A14" s="144" t="s">
        <v>5</v>
      </c>
      <c r="B14" s="138"/>
      <c r="C14" s="138"/>
      <c r="D14" s="138"/>
      <c r="E14" s="138"/>
      <c r="F14" s="138"/>
      <c r="G14" s="138"/>
      <c r="H14" s="138"/>
      <c r="I14" s="139"/>
      <c r="J14" s="127"/>
    </row>
    <row r="15" spans="1:10" s="64" customFormat="1" ht="12" customHeight="1">
      <c r="A15" s="138"/>
      <c r="B15" s="138"/>
      <c r="C15" s="138"/>
      <c r="D15" s="138"/>
      <c r="E15" s="138"/>
      <c r="F15" s="138"/>
      <c r="G15" s="138"/>
      <c r="H15" s="138"/>
      <c r="I15" s="139"/>
      <c r="J15" s="127"/>
    </row>
    <row r="16" spans="1:10" s="64" customFormat="1" ht="12" customHeight="1">
      <c r="A16" s="138"/>
      <c r="B16" s="138"/>
      <c r="C16" s="138"/>
      <c r="D16" s="138"/>
      <c r="E16" s="138"/>
      <c r="F16" s="138"/>
      <c r="G16" s="138"/>
      <c r="H16" s="138"/>
      <c r="I16" s="139"/>
      <c r="J16" s="127"/>
    </row>
    <row r="17" spans="1:11" s="64" customFormat="1" ht="12" customHeight="1">
      <c r="A17" s="138"/>
      <c r="B17" s="138"/>
      <c r="C17" s="138"/>
      <c r="D17" s="138"/>
      <c r="E17" s="138"/>
      <c r="F17" s="138"/>
      <c r="G17" s="138"/>
      <c r="H17" s="138"/>
      <c r="I17" s="139"/>
      <c r="J17" s="127"/>
      <c r="K17" s="45"/>
    </row>
    <row r="18" spans="1:11" s="64" customFormat="1" ht="12" customHeight="1">
      <c r="A18" s="138"/>
      <c r="B18" s="138"/>
      <c r="C18" s="138"/>
      <c r="D18" s="138"/>
      <c r="E18" s="138"/>
      <c r="F18" s="138"/>
      <c r="G18" s="138"/>
      <c r="H18" s="138"/>
      <c r="I18" s="139"/>
      <c r="J18" s="127"/>
      <c r="K18" s="45"/>
    </row>
    <row r="19" spans="1:11" s="64" customFormat="1" ht="12" customHeight="1">
      <c r="A19" s="138"/>
      <c r="B19" s="138"/>
      <c r="C19" s="138"/>
      <c r="D19" s="138"/>
      <c r="E19" s="138"/>
      <c r="F19" s="138"/>
      <c r="G19" s="138"/>
      <c r="H19" s="138"/>
      <c r="I19" s="139"/>
      <c r="J19" s="127"/>
      <c r="K19" s="45"/>
    </row>
    <row r="20" spans="1:11" s="64" customFormat="1" ht="12" customHeight="1">
      <c r="A20" s="138"/>
      <c r="B20" s="138"/>
      <c r="C20" s="138"/>
      <c r="D20" s="138"/>
      <c r="E20" s="138"/>
      <c r="F20" s="138"/>
      <c r="G20" s="138"/>
      <c r="H20" s="138"/>
      <c r="I20" s="139"/>
      <c r="J20" s="127"/>
      <c r="K20" s="45"/>
    </row>
    <row r="21" spans="1:21" s="64" customFormat="1" ht="12.75" customHeight="1">
      <c r="A21"/>
      <c r="B21"/>
      <c r="C21"/>
      <c r="D21"/>
      <c r="E21"/>
      <c r="F21"/>
      <c r="G21"/>
      <c r="H21"/>
      <c r="I21"/>
      <c r="J21" s="127"/>
      <c r="L21" s="45"/>
      <c r="M21" s="45"/>
      <c r="N21" s="45"/>
      <c r="O21" s="45"/>
      <c r="P21" s="45"/>
      <c r="Q21" s="45"/>
      <c r="R21" s="45"/>
      <c r="S21" s="45"/>
      <c r="T21" s="45"/>
      <c r="U21" s="45"/>
    </row>
    <row r="22" spans="1:21" s="64" customFormat="1" ht="12.75">
      <c r="A22" s="9" t="s">
        <v>170</v>
      </c>
      <c r="B22"/>
      <c r="C22"/>
      <c r="D22"/>
      <c r="E22"/>
      <c r="F22"/>
      <c r="G22"/>
      <c r="H22"/>
      <c r="I22"/>
      <c r="J22" s="127"/>
      <c r="K22" s="45"/>
      <c r="L22" s="45"/>
      <c r="M22" s="45"/>
      <c r="N22" s="45"/>
      <c r="O22" s="45"/>
      <c r="P22" s="45"/>
      <c r="Q22" s="45"/>
      <c r="R22" s="45"/>
      <c r="S22" s="45"/>
      <c r="T22" s="45"/>
      <c r="U22" s="45"/>
    </row>
    <row r="23" spans="2:11" s="64" customFormat="1" ht="12.75">
      <c r="B23"/>
      <c r="C23"/>
      <c r="D23"/>
      <c r="E23"/>
      <c r="F23"/>
      <c r="G23"/>
      <c r="H23"/>
      <c r="I23"/>
      <c r="J23" s="127"/>
      <c r="K23" s="45"/>
    </row>
    <row r="24" spans="1:21" s="64" customFormat="1" ht="12.75" customHeight="1">
      <c r="A24" s="45" t="s">
        <v>7</v>
      </c>
      <c r="B24"/>
      <c r="C24"/>
      <c r="D24"/>
      <c r="E24"/>
      <c r="F24"/>
      <c r="G24"/>
      <c r="H24"/>
      <c r="I24"/>
      <c r="J24" s="127"/>
      <c r="L24" s="9"/>
      <c r="M24" s="9"/>
      <c r="N24" s="9"/>
      <c r="O24" s="9"/>
      <c r="P24" s="9"/>
      <c r="Q24" s="9"/>
      <c r="R24" s="9"/>
      <c r="S24" s="9"/>
      <c r="T24" s="9"/>
      <c r="U24" s="9"/>
    </row>
    <row r="25" spans="1:21" s="64" customFormat="1" ht="12.75">
      <c r="A25" s="45"/>
      <c r="B25"/>
      <c r="C25"/>
      <c r="D25"/>
      <c r="E25"/>
      <c r="F25"/>
      <c r="G25"/>
      <c r="H25"/>
      <c r="I25"/>
      <c r="J25" s="127"/>
      <c r="K25" s="9"/>
      <c r="L25" s="9"/>
      <c r="M25" s="9"/>
      <c r="N25" s="9"/>
      <c r="O25" s="9"/>
      <c r="P25" s="9"/>
      <c r="Q25" s="9"/>
      <c r="R25" s="9"/>
      <c r="S25" s="9"/>
      <c r="T25" s="9"/>
      <c r="U25" s="9"/>
    </row>
    <row r="26" spans="1:11" ht="12">
      <c r="A26" s="9" t="s">
        <v>171</v>
      </c>
      <c r="I26"/>
      <c r="J26" s="128"/>
      <c r="K26" s="45"/>
    </row>
    <row r="27" spans="1:10" s="64" customFormat="1" ht="12.75">
      <c r="A27" s="45"/>
      <c r="B27"/>
      <c r="C27"/>
      <c r="D27"/>
      <c r="E27"/>
      <c r="F27"/>
      <c r="G27"/>
      <c r="H27"/>
      <c r="I27"/>
      <c r="J27" s="127"/>
    </row>
    <row r="28" spans="1:10" s="64" customFormat="1" ht="12.75">
      <c r="A28" s="9" t="s">
        <v>198</v>
      </c>
      <c r="B28"/>
      <c r="C28"/>
      <c r="D28"/>
      <c r="E28"/>
      <c r="F28"/>
      <c r="G28"/>
      <c r="H28"/>
      <c r="I28"/>
      <c r="J28" s="127"/>
    </row>
    <row r="29" spans="1:10" s="64" customFormat="1" ht="12.75">
      <c r="A29"/>
      <c r="B29"/>
      <c r="C29"/>
      <c r="D29"/>
      <c r="E29"/>
      <c r="F29"/>
      <c r="G29"/>
      <c r="H29"/>
      <c r="I29"/>
      <c r="J29" s="127"/>
    </row>
    <row r="30" spans="1:11" s="64" customFormat="1" ht="12.75" customHeight="1">
      <c r="A30" s="147" t="s">
        <v>199</v>
      </c>
      <c r="B30" s="147"/>
      <c r="C30" s="147"/>
      <c r="D30" s="147"/>
      <c r="E30" s="147"/>
      <c r="F30" s="147"/>
      <c r="G30" s="147"/>
      <c r="H30" s="147"/>
      <c r="I30" s="147"/>
      <c r="J30" s="127"/>
      <c r="K30" s="45"/>
    </row>
    <row r="31" spans="1:21" s="64" customFormat="1" ht="12.75" customHeight="1">
      <c r="A31" s="147"/>
      <c r="B31" s="147"/>
      <c r="C31" s="147"/>
      <c r="D31" s="147"/>
      <c r="E31" s="147"/>
      <c r="F31" s="147"/>
      <c r="G31" s="147"/>
      <c r="H31" s="147"/>
      <c r="I31" s="147"/>
      <c r="J31" s="127"/>
      <c r="L31" s="45"/>
      <c r="M31" s="45"/>
      <c r="N31" s="45"/>
      <c r="O31" s="45"/>
      <c r="P31" s="45"/>
      <c r="Q31" s="45"/>
      <c r="R31" s="45"/>
      <c r="S31" s="45"/>
      <c r="T31" s="45"/>
      <c r="U31" s="45"/>
    </row>
    <row r="32" spans="1:21" s="64" customFormat="1" ht="12.75">
      <c r="A32"/>
      <c r="B32"/>
      <c r="C32"/>
      <c r="D32"/>
      <c r="E32"/>
      <c r="F32"/>
      <c r="G32"/>
      <c r="H32"/>
      <c r="I32"/>
      <c r="J32" s="127"/>
      <c r="K32" s="45"/>
      <c r="L32" s="45"/>
      <c r="M32" s="45"/>
      <c r="N32" s="45"/>
      <c r="O32" s="45"/>
      <c r="P32" s="45"/>
      <c r="Q32" s="45"/>
      <c r="R32" s="45"/>
      <c r="S32" s="45"/>
      <c r="T32" s="45"/>
      <c r="U32" s="45"/>
    </row>
    <row r="33" spans="1:21" s="64" customFormat="1" ht="12.75">
      <c r="A33" s="9" t="s">
        <v>236</v>
      </c>
      <c r="B33"/>
      <c r="C33"/>
      <c r="D33"/>
      <c r="E33"/>
      <c r="F33"/>
      <c r="G33"/>
      <c r="H33"/>
      <c r="I33"/>
      <c r="J33" s="127"/>
      <c r="K33" s="45"/>
      <c r="L33" s="45"/>
      <c r="M33" s="45"/>
      <c r="N33" s="45"/>
      <c r="O33" s="45"/>
      <c r="P33" s="45"/>
      <c r="Q33" s="45"/>
      <c r="R33" s="45"/>
      <c r="S33" s="45"/>
      <c r="T33" s="45"/>
      <c r="U33" s="45"/>
    </row>
    <row r="34" spans="1:21" s="64" customFormat="1" ht="12.75">
      <c r="A34" t="s">
        <v>227</v>
      </c>
      <c r="B34"/>
      <c r="C34"/>
      <c r="D34"/>
      <c r="E34"/>
      <c r="F34"/>
      <c r="G34"/>
      <c r="H34"/>
      <c r="I34"/>
      <c r="J34" s="127"/>
      <c r="K34" s="45"/>
      <c r="L34" s="45"/>
      <c r="M34" s="45"/>
      <c r="N34" s="45"/>
      <c r="O34" s="45"/>
      <c r="P34" s="45"/>
      <c r="Q34" s="45"/>
      <c r="R34" s="45"/>
      <c r="S34" s="45"/>
      <c r="T34" s="45"/>
      <c r="U34" s="45"/>
    </row>
    <row r="35" spans="1:21" s="64" customFormat="1" ht="12.75" customHeight="1">
      <c r="A35" t="s">
        <v>228</v>
      </c>
      <c r="J35" s="127"/>
      <c r="K35" s="45"/>
      <c r="L35" s="45"/>
      <c r="M35" s="45"/>
      <c r="N35" s="45"/>
      <c r="O35" s="45"/>
      <c r="P35" s="45"/>
      <c r="Q35" s="45"/>
      <c r="R35" s="45"/>
      <c r="S35" s="45"/>
      <c r="T35" s="45"/>
      <c r="U35" s="45"/>
    </row>
    <row r="36" spans="1:11" s="64" customFormat="1" ht="12.75">
      <c r="A36" t="s">
        <v>229</v>
      </c>
      <c r="J36" s="127"/>
      <c r="K36" s="45"/>
    </row>
    <row r="37" spans="1:11" s="64" customFormat="1" ht="12.75">
      <c r="A37"/>
      <c r="J37" s="127"/>
      <c r="K37" s="45"/>
    </row>
    <row r="38" spans="1:11" s="64" customFormat="1" ht="12.75">
      <c r="A38" s="147" t="s">
        <v>200</v>
      </c>
      <c r="B38" s="147"/>
      <c r="C38" s="147"/>
      <c r="D38" s="147"/>
      <c r="E38" s="147"/>
      <c r="F38" s="147"/>
      <c r="G38" s="147"/>
      <c r="H38" s="147"/>
      <c r="I38" s="147"/>
      <c r="J38" s="127"/>
      <c r="K38" s="45"/>
    </row>
    <row r="39" spans="1:11" s="64" customFormat="1" ht="12.75">
      <c r="A39" s="147"/>
      <c r="B39" s="147"/>
      <c r="C39" s="147"/>
      <c r="D39" s="147"/>
      <c r="E39" s="147"/>
      <c r="F39" s="147"/>
      <c r="G39" s="147"/>
      <c r="H39" s="147"/>
      <c r="I39" s="147"/>
      <c r="J39" s="127"/>
      <c r="K39" s="45"/>
    </row>
    <row r="40" spans="1:11" s="64" customFormat="1" ht="12.75">
      <c r="A40"/>
      <c r="B40"/>
      <c r="C40"/>
      <c r="D40"/>
      <c r="E40"/>
      <c r="F40"/>
      <c r="G40"/>
      <c r="H40"/>
      <c r="I40"/>
      <c r="J40" s="127"/>
      <c r="K40" s="45"/>
    </row>
    <row r="41" spans="1:11" s="64" customFormat="1" ht="12.75">
      <c r="A41" s="9" t="s">
        <v>6</v>
      </c>
      <c r="B41"/>
      <c r="C41"/>
      <c r="D41"/>
      <c r="E41"/>
      <c r="F41"/>
      <c r="G41"/>
      <c r="H41"/>
      <c r="I41"/>
      <c r="J41" s="127"/>
      <c r="K41" s="45"/>
    </row>
    <row r="42" spans="1:11" s="64" customFormat="1" ht="12.75">
      <c r="A42" s="45"/>
      <c r="B42" s="106"/>
      <c r="C42" s="106"/>
      <c r="D42" s="106"/>
      <c r="E42" s="106"/>
      <c r="F42" s="106"/>
      <c r="G42" s="106"/>
      <c r="H42" s="106"/>
      <c r="I42" s="108"/>
      <c r="K42" s="45"/>
    </row>
    <row r="43" spans="1:9" s="64" customFormat="1" ht="12.75">
      <c r="A43" s="9" t="s">
        <v>13</v>
      </c>
      <c r="I43" s="85"/>
    </row>
    <row r="45" spans="1:9" ht="11.25">
      <c r="A45" s="144" t="s">
        <v>172</v>
      </c>
      <c r="B45" s="138"/>
      <c r="C45" s="138"/>
      <c r="D45" s="138"/>
      <c r="E45" s="138"/>
      <c r="F45" s="138"/>
      <c r="G45" s="138"/>
      <c r="H45" s="138"/>
      <c r="I45" s="139"/>
    </row>
    <row r="46" spans="1:9" ht="11.25">
      <c r="A46" s="138"/>
      <c r="B46" s="138"/>
      <c r="C46" s="138"/>
      <c r="D46" s="138"/>
      <c r="E46" s="138"/>
      <c r="F46" s="138"/>
      <c r="G46" s="138"/>
      <c r="H46" s="138"/>
      <c r="I46" s="139"/>
    </row>
    <row r="47" spans="1:9" ht="11.25">
      <c r="A47" s="138"/>
      <c r="B47" s="138"/>
      <c r="C47" s="138"/>
      <c r="D47" s="138"/>
      <c r="E47" s="138"/>
      <c r="F47" s="138"/>
      <c r="G47" s="138"/>
      <c r="H47" s="138"/>
      <c r="I47" s="139"/>
    </row>
    <row r="49" ht="12.75">
      <c r="G49" s="66" t="s">
        <v>240</v>
      </c>
    </row>
    <row r="50" ht="12.75">
      <c r="A50" s="1" t="s">
        <v>166</v>
      </c>
    </row>
    <row r="52" ht="11.25">
      <c r="A52" t="s">
        <v>87</v>
      </c>
    </row>
    <row r="53" ht="12">
      <c r="A53" s="9" t="s">
        <v>169</v>
      </c>
    </row>
    <row r="55" spans="1:7" ht="11.25">
      <c r="A55" s="146" t="s">
        <v>165</v>
      </c>
      <c r="B55" s="138"/>
      <c r="C55" s="138"/>
      <c r="D55" s="138"/>
      <c r="E55" s="138"/>
      <c r="F55" s="138"/>
      <c r="G55" s="138"/>
    </row>
    <row r="56" spans="1:7" ht="11.25">
      <c r="A56" s="138"/>
      <c r="B56" s="138"/>
      <c r="C56" s="138"/>
      <c r="D56" s="138"/>
      <c r="E56" s="138"/>
      <c r="F56" s="138"/>
      <c r="G56" s="138"/>
    </row>
    <row r="57" spans="1:7" ht="11.25">
      <c r="A57" s="138"/>
      <c r="B57" s="138"/>
      <c r="C57" s="138"/>
      <c r="D57" s="138"/>
      <c r="E57" s="138"/>
      <c r="F57" s="138"/>
      <c r="G57" s="138"/>
    </row>
    <row r="59" spans="1:8" ht="11.25">
      <c r="A59" s="100" t="s">
        <v>51</v>
      </c>
      <c r="H59" s="103">
        <v>10</v>
      </c>
    </row>
    <row r="60" spans="1:8" ht="11.25">
      <c r="A60" t="s">
        <v>119</v>
      </c>
      <c r="H60" s="60">
        <f>H59/Electricity!G16</f>
        <v>2.7272727272727275</v>
      </c>
    </row>
    <row r="61" spans="1:8" ht="11.25">
      <c r="A61" t="s">
        <v>175</v>
      </c>
      <c r="H61" s="36">
        <f>H60*Electricity!G17/2000</f>
        <v>3.006818181818182</v>
      </c>
    </row>
    <row r="62" spans="1:17" ht="11.25">
      <c r="A62" s="15" t="s">
        <v>105</v>
      </c>
      <c r="K62" s="106"/>
      <c r="L62" s="106"/>
      <c r="M62" s="106"/>
      <c r="N62" s="106"/>
      <c r="O62" s="106"/>
      <c r="P62" s="106"/>
      <c r="Q62" s="106"/>
    </row>
    <row r="63" spans="1:9" ht="11.25">
      <c r="A63" s="15" t="s">
        <v>120</v>
      </c>
      <c r="H63" s="62">
        <f>H59*100*Gasoline!F133/(2000*Electricity!G16)</f>
        <v>2.676528571428571</v>
      </c>
      <c r="I63" s="33" t="s">
        <v>144</v>
      </c>
    </row>
    <row r="64" spans="1:8" ht="11.25">
      <c r="A64" s="15"/>
      <c r="H64" s="62"/>
    </row>
    <row r="65" spans="1:9" ht="11.25">
      <c r="A65" s="100" t="s">
        <v>230</v>
      </c>
      <c r="H65" s="124">
        <v>10</v>
      </c>
      <c r="I65" s="33" t="s">
        <v>144</v>
      </c>
    </row>
    <row r="66" spans="1:8" ht="11.25">
      <c r="A66" s="15"/>
      <c r="H66" s="62"/>
    </row>
    <row r="67" spans="1:10" ht="11.25">
      <c r="A67" s="100" t="s">
        <v>155</v>
      </c>
      <c r="H67" s="104">
        <v>2008</v>
      </c>
      <c r="I67" s="82" t="s">
        <v>146</v>
      </c>
      <c r="J67" s="82" t="s">
        <v>149</v>
      </c>
    </row>
    <row r="68" spans="1:10" ht="11.25">
      <c r="A68" s="100" t="s">
        <v>156</v>
      </c>
      <c r="H68" s="104">
        <v>2027</v>
      </c>
      <c r="I68" s="83" t="s">
        <v>147</v>
      </c>
      <c r="J68" s="83" t="s">
        <v>150</v>
      </c>
    </row>
    <row r="69" spans="9:10" ht="11.25">
      <c r="I69" s="83" t="s">
        <v>148</v>
      </c>
      <c r="J69" s="83" t="s">
        <v>151</v>
      </c>
    </row>
    <row r="70" spans="1:10" ht="11.25">
      <c r="A70" s="148" t="s">
        <v>12</v>
      </c>
      <c r="B70" s="149"/>
      <c r="C70" s="149"/>
      <c r="D70" s="149"/>
      <c r="E70" s="149"/>
      <c r="F70" s="149"/>
      <c r="G70" s="149"/>
      <c r="H70" s="149"/>
      <c r="I70" s="84" t="s">
        <v>158</v>
      </c>
      <c r="J70" s="84" t="s">
        <v>152</v>
      </c>
    </row>
    <row r="71" spans="1:32" ht="11.25">
      <c r="A71" s="149"/>
      <c r="B71" s="149"/>
      <c r="C71" s="149"/>
      <c r="D71" s="149"/>
      <c r="E71" s="149"/>
      <c r="F71" s="149"/>
      <c r="G71" s="149"/>
      <c r="H71" s="149"/>
      <c r="I71" s="69">
        <v>2007</v>
      </c>
      <c r="J71" s="13">
        <f>H67</f>
        <v>2008</v>
      </c>
      <c r="K71" s="13">
        <f>J71+1</f>
        <v>2009</v>
      </c>
      <c r="L71" s="13">
        <f>K71+1</f>
        <v>2010</v>
      </c>
      <c r="M71" s="13">
        <f>L71+1</f>
        <v>2011</v>
      </c>
      <c r="N71" s="13">
        <f aca="true" t="shared" si="0" ref="N71:AF71">M71+1</f>
        <v>2012</v>
      </c>
      <c r="O71" s="13">
        <f t="shared" si="0"/>
        <v>2013</v>
      </c>
      <c r="P71" s="13">
        <f t="shared" si="0"/>
        <v>2014</v>
      </c>
      <c r="Q71" s="13">
        <f t="shared" si="0"/>
        <v>2015</v>
      </c>
      <c r="R71" s="13">
        <f t="shared" si="0"/>
        <v>2016</v>
      </c>
      <c r="S71" s="13">
        <f t="shared" si="0"/>
        <v>2017</v>
      </c>
      <c r="T71" s="13">
        <f t="shared" si="0"/>
        <v>2018</v>
      </c>
      <c r="U71" s="13">
        <f t="shared" si="0"/>
        <v>2019</v>
      </c>
      <c r="V71" s="13">
        <f t="shared" si="0"/>
        <v>2020</v>
      </c>
      <c r="W71" s="13">
        <f t="shared" si="0"/>
        <v>2021</v>
      </c>
      <c r="X71" s="13">
        <f t="shared" si="0"/>
        <v>2022</v>
      </c>
      <c r="Y71" s="13">
        <f t="shared" si="0"/>
        <v>2023</v>
      </c>
      <c r="Z71" s="13">
        <f t="shared" si="0"/>
        <v>2024</v>
      </c>
      <c r="AA71" s="13">
        <f t="shared" si="0"/>
        <v>2025</v>
      </c>
      <c r="AB71" s="13">
        <f t="shared" si="0"/>
        <v>2026</v>
      </c>
      <c r="AC71" s="13">
        <f t="shared" si="0"/>
        <v>2027</v>
      </c>
      <c r="AD71" s="13">
        <f t="shared" si="0"/>
        <v>2028</v>
      </c>
      <c r="AE71" s="13">
        <f t="shared" si="0"/>
        <v>2029</v>
      </c>
      <c r="AF71" s="13">
        <f t="shared" si="0"/>
        <v>2030</v>
      </c>
    </row>
    <row r="72" spans="7:32" s="45" customFormat="1" ht="12">
      <c r="G72" s="110" t="s">
        <v>204</v>
      </c>
      <c r="H72" s="111"/>
      <c r="I72" s="86"/>
      <c r="J72" s="48"/>
      <c r="K72" s="48"/>
      <c r="L72" s="48"/>
      <c r="M72" s="48"/>
      <c r="N72" s="48"/>
      <c r="O72" s="48"/>
      <c r="P72" s="48"/>
      <c r="Q72" s="48"/>
      <c r="R72" s="48"/>
      <c r="S72" s="48"/>
      <c r="T72" s="48"/>
      <c r="U72" s="48"/>
      <c r="V72" s="48"/>
      <c r="W72" s="48"/>
      <c r="X72" s="48"/>
      <c r="Y72" s="48"/>
      <c r="Z72" s="48"/>
      <c r="AA72" s="48"/>
      <c r="AB72" s="48"/>
      <c r="AC72" s="48"/>
      <c r="AD72" s="48"/>
      <c r="AE72" s="48"/>
      <c r="AF72" s="48"/>
    </row>
    <row r="73" spans="1:33" s="9" customFormat="1" ht="12">
      <c r="A73" s="9" t="s">
        <v>86</v>
      </c>
      <c r="G73" s="112" t="s">
        <v>205</v>
      </c>
      <c r="H73" s="113"/>
      <c r="I73" s="77">
        <f>SUM(I74:I77)</f>
        <v>5982.046802176086</v>
      </c>
      <c r="J73" s="28">
        <f aca="true" t="shared" si="1" ref="J73:AF73">SUM(J74:J77)</f>
        <v>6125.906967534369</v>
      </c>
      <c r="K73" s="28">
        <f t="shared" si="1"/>
        <v>6215.285597944321</v>
      </c>
      <c r="L73" s="28">
        <f t="shared" si="1"/>
        <v>6306.059415518274</v>
      </c>
      <c r="M73" s="28">
        <f t="shared" si="1"/>
        <v>6398.252281364235</v>
      </c>
      <c r="N73" s="28">
        <f t="shared" si="1"/>
        <v>6491.888515486537</v>
      </c>
      <c r="O73" s="28">
        <f t="shared" si="1"/>
        <v>6586.992906828484</v>
      </c>
      <c r="P73" s="28">
        <f t="shared" si="1"/>
        <v>6683.590723561718</v>
      </c>
      <c r="Q73" s="28">
        <f t="shared" si="1"/>
        <v>6781.707723628869</v>
      </c>
      <c r="R73" s="28">
        <f t="shared" si="1"/>
        <v>6881.370165546323</v>
      </c>
      <c r="S73" s="28">
        <f t="shared" si="1"/>
        <v>6982.604819474042</v>
      </c>
      <c r="T73" s="28">
        <f t="shared" si="1"/>
        <v>7085.438978559625</v>
      </c>
      <c r="U73" s="28">
        <f t="shared" si="1"/>
        <v>7189.900470563957</v>
      </c>
      <c r="V73" s="28">
        <f t="shared" si="1"/>
        <v>7296.017669776089</v>
      </c>
      <c r="W73" s="28">
        <f t="shared" si="1"/>
        <v>7403.819509225043</v>
      </c>
      <c r="X73" s="28">
        <f t="shared" si="1"/>
        <v>7513.335493196671</v>
      </c>
      <c r="Y73" s="28">
        <f t="shared" si="1"/>
        <v>7624.595710063733</v>
      </c>
      <c r="Z73" s="28">
        <f t="shared" si="1"/>
        <v>7737.630845437696</v>
      </c>
      <c r="AA73" s="28">
        <f t="shared" si="1"/>
        <v>7852.472195650975</v>
      </c>
      <c r="AB73" s="28">
        <f t="shared" si="1"/>
        <v>7969.151681578592</v>
      </c>
      <c r="AC73" s="28">
        <f t="shared" si="1"/>
        <v>8087.701862808448</v>
      </c>
      <c r="AD73" s="28">
        <f t="shared" si="1"/>
        <v>8208.155952169713</v>
      </c>
      <c r="AE73" s="28">
        <f t="shared" si="1"/>
        <v>8330.547830629072</v>
      </c>
      <c r="AF73" s="28">
        <f t="shared" si="1"/>
        <v>8454.912062564885</v>
      </c>
      <c r="AG73" s="28"/>
    </row>
    <row r="74" spans="1:32" s="45" customFormat="1" ht="11.25">
      <c r="A74" s="45" t="s">
        <v>135</v>
      </c>
      <c r="G74" s="140">
        <f>I74/$I$73</f>
        <v>0.39701709188719553</v>
      </c>
      <c r="H74" s="141"/>
      <c r="I74" s="86">
        <f>Electricity!I40</f>
        <v>2374.9748249330473</v>
      </c>
      <c r="J74" s="48">
        <f>Electricity!J40</f>
        <v>2446.758439016648</v>
      </c>
      <c r="K74" s="48">
        <f>Electricity!K40</f>
        <v>2483.459815601897</v>
      </c>
      <c r="L74" s="48">
        <f>Electricity!L40</f>
        <v>2520.711712835925</v>
      </c>
      <c r="M74" s="48">
        <f>Electricity!M40</f>
        <v>2558.522388528464</v>
      </c>
      <c r="N74" s="48">
        <f>Electricity!N40</f>
        <v>2596.900224356391</v>
      </c>
      <c r="O74" s="48">
        <f>Electricity!O40</f>
        <v>2635.853727721736</v>
      </c>
      <c r="P74" s="48">
        <f>Electricity!P40</f>
        <v>2675.3915336375617</v>
      </c>
      <c r="Q74" s="48">
        <f>Electricity!Q40</f>
        <v>2715.5224066421247</v>
      </c>
      <c r="R74" s="48">
        <f>Electricity!R40</f>
        <v>2756.2552427417563</v>
      </c>
      <c r="S74" s="48">
        <f>Electricity!S40</f>
        <v>2797.5990713828824</v>
      </c>
      <c r="T74" s="48">
        <f>Electricity!T40</f>
        <v>2839.563057453626</v>
      </c>
      <c r="U74" s="48">
        <f>Electricity!U40</f>
        <v>2882.156503315429</v>
      </c>
      <c r="V74" s="48">
        <f>Electricity!V40</f>
        <v>2925.3888508651603</v>
      </c>
      <c r="W74" s="48">
        <f>Electricity!W40</f>
        <v>2969.269683628137</v>
      </c>
      <c r="X74" s="48">
        <f>Electricity!X40</f>
        <v>3013.8087288825586</v>
      </c>
      <c r="Y74" s="48">
        <f>Electricity!Y40</f>
        <v>3059.015859815796</v>
      </c>
      <c r="Z74" s="48">
        <f>Electricity!Z40</f>
        <v>3104.901097713033</v>
      </c>
      <c r="AA74" s="48">
        <f>Electricity!AA40</f>
        <v>3151.4746141787286</v>
      </c>
      <c r="AB74" s="48">
        <f>Electricity!AB40</f>
        <v>3198.7467333914087</v>
      </c>
      <c r="AC74" s="48">
        <f>Electricity!AC40</f>
        <v>3246.727934392279</v>
      </c>
      <c r="AD74" s="48">
        <f>Electricity!AD40</f>
        <v>3295.4288534081625</v>
      </c>
      <c r="AE74" s="48">
        <f>Electricity!AE40</f>
        <v>3344.860286209285</v>
      </c>
      <c r="AF74" s="48">
        <f>Electricity!AF40</f>
        <v>3395.033190502424</v>
      </c>
    </row>
    <row r="75" spans="1:32" s="45" customFormat="1" ht="11.25">
      <c r="A75" s="45" t="s">
        <v>136</v>
      </c>
      <c r="G75" s="140">
        <f>I75/$I$73</f>
        <v>0.21271853229831664</v>
      </c>
      <c r="H75" s="141"/>
      <c r="I75" s="86">
        <f>Gasoline!I40</f>
        <v>1272.4922158987356</v>
      </c>
      <c r="J75" s="48">
        <f>Gasoline!J40</f>
        <v>1298.0693094383003</v>
      </c>
      <c r="K75" s="48">
        <f>Gasoline!K40</f>
        <v>1311.0500025326833</v>
      </c>
      <c r="L75" s="48">
        <f>Gasoline!L40</f>
        <v>1324.1605025580097</v>
      </c>
      <c r="M75" s="48">
        <f>Gasoline!M40</f>
        <v>1337.40210758359</v>
      </c>
      <c r="N75" s="48">
        <f>Gasoline!N40</f>
        <v>1350.776128659426</v>
      </c>
      <c r="O75" s="48">
        <f>Gasoline!O40</f>
        <v>1364.28388994602</v>
      </c>
      <c r="P75" s="48">
        <f>Gasoline!P40</f>
        <v>1377.9267288454803</v>
      </c>
      <c r="Q75" s="48">
        <f>Gasoline!Q40</f>
        <v>1391.705996133935</v>
      </c>
      <c r="R75" s="48">
        <f>Gasoline!R40</f>
        <v>1405.6230560952745</v>
      </c>
      <c r="S75" s="48">
        <f>Gasoline!S40</f>
        <v>1419.679286656227</v>
      </c>
      <c r="T75" s="48">
        <f>Gasoline!T40</f>
        <v>1433.8760795227895</v>
      </c>
      <c r="U75" s="48">
        <f>Gasoline!U40</f>
        <v>1448.2148403180172</v>
      </c>
      <c r="V75" s="48">
        <f>Gasoline!V40</f>
        <v>1462.6969887211974</v>
      </c>
      <c r="W75" s="48">
        <f>Gasoline!W40</f>
        <v>1477.3239586084094</v>
      </c>
      <c r="X75" s="48">
        <f>Gasoline!X40</f>
        <v>1492.0971981944936</v>
      </c>
      <c r="Y75" s="48">
        <f>Gasoline!Y40</f>
        <v>1507.0181701764384</v>
      </c>
      <c r="Z75" s="48">
        <f>Gasoline!Z40</f>
        <v>1522.0883518782027</v>
      </c>
      <c r="AA75" s="48">
        <f>Gasoline!AA40</f>
        <v>1537.3092353969848</v>
      </c>
      <c r="AB75" s="48">
        <f>Gasoline!AB40</f>
        <v>1552.682327750955</v>
      </c>
      <c r="AC75" s="48">
        <f>Gasoline!AC40</f>
        <v>1568.2091510284642</v>
      </c>
      <c r="AD75" s="48">
        <f>Gasoline!AD40</f>
        <v>1583.8912425387493</v>
      </c>
      <c r="AE75" s="48">
        <f>Gasoline!AE40</f>
        <v>1599.7301549641365</v>
      </c>
      <c r="AF75" s="48">
        <f>Gasoline!AF40</f>
        <v>1615.7274565137782</v>
      </c>
    </row>
    <row r="76" spans="1:32" s="45" customFormat="1" ht="11.25">
      <c r="A76" s="45" t="s">
        <v>282</v>
      </c>
      <c r="G76" s="140">
        <f>I76/$I$73</f>
        <v>0.04181269841508355</v>
      </c>
      <c r="H76" s="141"/>
      <c r="I76" s="86">
        <f>Aviation!I40</f>
        <v>250.12551884430368</v>
      </c>
      <c r="J76" s="48">
        <f>Aviation!J40</f>
        <v>265.3581629419218</v>
      </c>
      <c r="K76" s="48">
        <f>Aviation!K40</f>
        <v>273.3189078301795</v>
      </c>
      <c r="L76" s="48">
        <f>Aviation!L40</f>
        <v>281.5184750650849</v>
      </c>
      <c r="M76" s="48">
        <f>Aviation!M40</f>
        <v>289.9640293170375</v>
      </c>
      <c r="N76" s="48">
        <f>Aviation!N40</f>
        <v>298.6629501965486</v>
      </c>
      <c r="O76" s="48">
        <f>Aviation!O40</f>
        <v>307.6228387024451</v>
      </c>
      <c r="P76" s="48">
        <f>Aviation!P40</f>
        <v>316.8515238635184</v>
      </c>
      <c r="Q76" s="48">
        <f>Aviation!Q40</f>
        <v>326.357069579424</v>
      </c>
      <c r="R76" s="48">
        <f>Aviation!R40</f>
        <v>336.14778166680674</v>
      </c>
      <c r="S76" s="48">
        <f>Aviation!S40</f>
        <v>346.23221511681095</v>
      </c>
      <c r="T76" s="48">
        <f>Aviation!T40</f>
        <v>356.6191815703153</v>
      </c>
      <c r="U76" s="48">
        <f>Aviation!U40</f>
        <v>367.3177570174247</v>
      </c>
      <c r="V76" s="48">
        <f>Aviation!V40</f>
        <v>378.33728972794745</v>
      </c>
      <c r="W76" s="48">
        <f>Aviation!W40</f>
        <v>389.6874084197859</v>
      </c>
      <c r="X76" s="48">
        <f>Aviation!X40</f>
        <v>401.3780306723795</v>
      </c>
      <c r="Y76" s="48">
        <f>Aviation!Y40</f>
        <v>413.4193715925509</v>
      </c>
      <c r="Z76" s="48">
        <f>Aviation!Z40</f>
        <v>425.8219527403275</v>
      </c>
      <c r="AA76" s="48">
        <f>Aviation!AA40</f>
        <v>438.59661132253734</v>
      </c>
      <c r="AB76" s="48">
        <f>Aviation!AB40</f>
        <v>451.7545096622134</v>
      </c>
      <c r="AC76" s="48">
        <f>Aviation!AC40</f>
        <v>465.3071449520798</v>
      </c>
      <c r="AD76" s="48">
        <f>Aviation!AD40</f>
        <v>479.26635930064225</v>
      </c>
      <c r="AE76" s="48">
        <f>Aviation!AE40</f>
        <v>493.6443500796615</v>
      </c>
      <c r="AF76" s="48">
        <f>Aviation!AF40</f>
        <v>508.4536805820514</v>
      </c>
    </row>
    <row r="77" spans="1:32" s="45" customFormat="1" ht="11.25">
      <c r="A77" s="45" t="s">
        <v>137</v>
      </c>
      <c r="G77" s="142">
        <f>I77/$I$73</f>
        <v>0.34845167739940425</v>
      </c>
      <c r="H77" s="143"/>
      <c r="I77" s="86">
        <f>Other!I38</f>
        <v>2084.4542424999995</v>
      </c>
      <c r="J77" s="48">
        <f>Other!J38</f>
        <v>2115.7210561374995</v>
      </c>
      <c r="K77" s="48">
        <f>Other!K38</f>
        <v>2147.456871979562</v>
      </c>
      <c r="L77" s="48">
        <f>Other!L38</f>
        <v>2179.668725059255</v>
      </c>
      <c r="M77" s="48">
        <f>Other!M38</f>
        <v>2212.3637559351437</v>
      </c>
      <c r="N77" s="48">
        <f>Other!N38</f>
        <v>2245.5492122741707</v>
      </c>
      <c r="O77" s="48">
        <f>Other!O38</f>
        <v>2279.2324504582834</v>
      </c>
      <c r="P77" s="48">
        <f>Other!P38</f>
        <v>2313.420937215157</v>
      </c>
      <c r="Q77" s="48">
        <f>Other!Q38</f>
        <v>2348.122251273385</v>
      </c>
      <c r="R77" s="48">
        <f>Other!R38</f>
        <v>2383.3440850424854</v>
      </c>
      <c r="S77" s="48">
        <f>Other!S38</f>
        <v>2419.094246318122</v>
      </c>
      <c r="T77" s="48">
        <f>Other!T38</f>
        <v>2455.380660012894</v>
      </c>
      <c r="U77" s="48">
        <f>Other!U38</f>
        <v>2492.211369913087</v>
      </c>
      <c r="V77" s="48">
        <f>Other!V38</f>
        <v>2529.5945404617833</v>
      </c>
      <c r="W77" s="48">
        <f>Other!W38</f>
        <v>2567.5384585687098</v>
      </c>
      <c r="X77" s="48">
        <f>Other!X38</f>
        <v>2606.05153544724</v>
      </c>
      <c r="Y77" s="48">
        <f>Other!Y38</f>
        <v>2645.142308478948</v>
      </c>
      <c r="Z77" s="48">
        <f>Other!Z38</f>
        <v>2684.8194431061324</v>
      </c>
      <c r="AA77" s="48">
        <f>Other!AA38</f>
        <v>2725.091734752724</v>
      </c>
      <c r="AB77" s="48">
        <f>Other!AB38</f>
        <v>2765.9681107740143</v>
      </c>
      <c r="AC77" s="48">
        <f>Other!AC38</f>
        <v>2807.4576324356244</v>
      </c>
      <c r="AD77" s="48">
        <f>Other!AD38</f>
        <v>2849.569496922158</v>
      </c>
      <c r="AE77" s="48">
        <f>Other!AE38</f>
        <v>2892.3130393759902</v>
      </c>
      <c r="AF77" s="48">
        <f>Other!AF38</f>
        <v>2935.69773496663</v>
      </c>
    </row>
    <row r="78" spans="9:32" s="45" customFormat="1" ht="11.25">
      <c r="I78" s="86"/>
      <c r="J78" s="48"/>
      <c r="K78" s="48"/>
      <c r="L78" s="48"/>
      <c r="M78" s="48"/>
      <c r="N78" s="48"/>
      <c r="O78" s="48"/>
      <c r="P78" s="48"/>
      <c r="Q78" s="48"/>
      <c r="R78" s="48"/>
      <c r="S78" s="48"/>
      <c r="T78" s="48"/>
      <c r="U78" s="48"/>
      <c r="V78" s="48"/>
      <c r="W78" s="48"/>
      <c r="X78" s="48"/>
      <c r="Y78" s="48"/>
      <c r="Z78" s="48"/>
      <c r="AA78" s="48"/>
      <c r="AB78" s="48"/>
      <c r="AC78" s="48"/>
      <c r="AD78" s="48"/>
      <c r="AE78" s="48"/>
      <c r="AF78" s="48"/>
    </row>
    <row r="79" spans="1:33" s="9" customFormat="1" ht="12">
      <c r="A79" s="9" t="s">
        <v>167</v>
      </c>
      <c r="I79" s="77"/>
      <c r="J79" s="28">
        <f aca="true" t="shared" si="2" ref="J79:AF79">SUM(J80:J83)</f>
        <v>6088.5867295715525</v>
      </c>
      <c r="K79" s="28">
        <f t="shared" si="2"/>
        <v>6131.94609013173</v>
      </c>
      <c r="L79" s="28">
        <f t="shared" si="2"/>
        <v>6168.07986667045</v>
      </c>
      <c r="M79" s="28">
        <f t="shared" si="2"/>
        <v>6197.108959159563</v>
      </c>
      <c r="N79" s="28">
        <f t="shared" si="2"/>
        <v>6219.172023491879</v>
      </c>
      <c r="O79" s="28">
        <f t="shared" si="2"/>
        <v>6234.4239842033185</v>
      </c>
      <c r="P79" s="28">
        <f t="shared" si="2"/>
        <v>6243.034544466287</v>
      </c>
      <c r="Q79" s="28">
        <f t="shared" si="2"/>
        <v>6245.186704974899</v>
      </c>
      <c r="R79" s="28">
        <f t="shared" si="2"/>
        <v>6241.075301932306</v>
      </c>
      <c r="S79" s="28">
        <f t="shared" si="2"/>
        <v>6230.90557307893</v>
      </c>
      <c r="T79" s="28">
        <f t="shared" si="2"/>
        <v>6223.149727864564</v>
      </c>
      <c r="U79" s="28">
        <f t="shared" si="2"/>
        <v>6217.665522738107</v>
      </c>
      <c r="V79" s="28">
        <f t="shared" si="2"/>
        <v>6214.326200676574</v>
      </c>
      <c r="W79" s="28">
        <f t="shared" si="2"/>
        <v>6218.543529671651</v>
      </c>
      <c r="X79" s="28">
        <f t="shared" si="2"/>
        <v>6230.0856601416135</v>
      </c>
      <c r="Y79" s="28">
        <f t="shared" si="2"/>
        <v>6248.763088633965</v>
      </c>
      <c r="Z79" s="28">
        <f t="shared" si="2"/>
        <v>6274.424661634219</v>
      </c>
      <c r="AA79" s="28">
        <f t="shared" si="2"/>
        <v>6306.954259375163</v>
      </c>
      <c r="AB79" s="28">
        <f t="shared" si="2"/>
        <v>6346.268049389803</v>
      </c>
      <c r="AC79" s="28">
        <f t="shared" si="2"/>
        <v>6392.312222287686</v>
      </c>
      <c r="AD79" s="28">
        <f t="shared" si="2"/>
        <v>6474.923854042869</v>
      </c>
      <c r="AE79" s="28">
        <f t="shared" si="2"/>
        <v>6564.8656230736115</v>
      </c>
      <c r="AF79" s="28">
        <f t="shared" si="2"/>
        <v>6662.255918971422</v>
      </c>
      <c r="AG79" s="28"/>
    </row>
    <row r="80" spans="1:32" s="45" customFormat="1" ht="11.25">
      <c r="A80" s="45" t="s">
        <v>135</v>
      </c>
      <c r="G80" s="47"/>
      <c r="I80" s="87"/>
      <c r="J80" s="48">
        <f>Electricity!J56</f>
        <v>2423.6345889060817</v>
      </c>
      <c r="K80" s="48">
        <f>Electricity!K56</f>
        <v>2433.5561898283395</v>
      </c>
      <c r="L80" s="48">
        <f>Electricity!L56</f>
        <v>2440.434580485757</v>
      </c>
      <c r="M80" s="48">
        <f>Electricity!M56</f>
        <v>2444.3476219952727</v>
      </c>
      <c r="N80" s="48">
        <f>Electricity!N56</f>
        <v>2445.379898925914</v>
      </c>
      <c r="O80" s="48">
        <f>Electricity!O56</f>
        <v>2443.6219318147887</v>
      </c>
      <c r="P80" s="48">
        <f>Electricity!P56</f>
        <v>2439.1694131481518</v>
      </c>
      <c r="Q80" s="48">
        <f>Electricity!Q56</f>
        <v>2432.122469962117</v>
      </c>
      <c r="R80" s="48">
        <f>Electricity!R56</f>
        <v>2422.584955706615</v>
      </c>
      <c r="S80" s="48">
        <f>Electricity!S56</f>
        <v>2410.663773537014</v>
      </c>
      <c r="T80" s="48">
        <f>Electricity!T56</f>
        <v>2399.7166765752877</v>
      </c>
      <c r="U80" s="48">
        <f>Electricity!U56</f>
        <v>2389.688897944502</v>
      </c>
      <c r="V80" s="48">
        <f>Electricity!V56</f>
        <v>2380.5302720133413</v>
      </c>
      <c r="W80" s="48">
        <f>Electricity!W56</f>
        <v>2374.302469786944</v>
      </c>
      <c r="X80" s="48">
        <f>Electricity!X56</f>
        <v>2370.886751137509</v>
      </c>
      <c r="Y80" s="48">
        <f>Electricity!Y56</f>
        <v>2370.179665691742</v>
      </c>
      <c r="Z80" s="48">
        <f>Electricity!Z56</f>
        <v>2372.0915764696447</v>
      </c>
      <c r="AA80" s="48">
        <f>Electricity!AA56</f>
        <v>2376.5453773019053</v>
      </c>
      <c r="AB80" s="48">
        <f>Electricity!AB56</f>
        <v>2383.4753771015266</v>
      </c>
      <c r="AC80" s="48">
        <f>Electricity!AC56</f>
        <v>2392.826328281931</v>
      </c>
      <c r="AD80" s="48">
        <f>Electricity!AD56</f>
        <v>2424.2083232728237</v>
      </c>
      <c r="AE80" s="48">
        <f>Electricity!AE56</f>
        <v>2458.3203820822673</v>
      </c>
      <c r="AF80" s="48">
        <f>Electricity!AF56</f>
        <v>2495.1951878135014</v>
      </c>
    </row>
    <row r="81" spans="1:32" s="45" customFormat="1" ht="11.25">
      <c r="A81" s="45" t="s">
        <v>225</v>
      </c>
      <c r="G81" s="47"/>
      <c r="I81" s="87"/>
      <c r="J81" s="48">
        <f>Gasoline!J54</f>
        <v>1292.420877283069</v>
      </c>
      <c r="K81" s="48">
        <f>Gasoline!K54</f>
        <v>1297.604007596439</v>
      </c>
      <c r="L81" s="48">
        <f>Gasoline!L54</f>
        <v>1300.8229571157178</v>
      </c>
      <c r="M81" s="48">
        <f>Gasoline!M54</f>
        <v>1302.1380696407034</v>
      </c>
      <c r="N81" s="48">
        <f>Gasoline!N54</f>
        <v>1301.6131757510504</v>
      </c>
      <c r="O81" s="48">
        <f>Gasoline!O54</f>
        <v>1299.3151663446351</v>
      </c>
      <c r="P81" s="48">
        <f>Gasoline!P54</f>
        <v>1295.313572353066</v>
      </c>
      <c r="Q81" s="48">
        <f>Gasoline!Q54</f>
        <v>1289.6801537152521</v>
      </c>
      <c r="R81" s="48">
        <f>Gasoline!R54</f>
        <v>1282.4885001443402</v>
      </c>
      <c r="S81" s="48">
        <f>Gasoline!S54</f>
        <v>1273.8136457626067</v>
      </c>
      <c r="T81" s="48">
        <f>Gasoline!T54</f>
        <v>1265.8243292222037</v>
      </c>
      <c r="U81" s="48">
        <f>Gasoline!U54</f>
        <v>1258.4660434624295</v>
      </c>
      <c r="V81" s="48">
        <f>Gasoline!V54</f>
        <v>1251.6904320459682</v>
      </c>
      <c r="W81" s="48">
        <f>Gasoline!W54</f>
        <v>1246.7791602569052</v>
      </c>
      <c r="X81" s="48">
        <f>Gasoline!X54</f>
        <v>1243.6440030358483</v>
      </c>
      <c r="Y81" s="48">
        <f>Gasoline!Y54</f>
        <v>1242.2098075079298</v>
      </c>
      <c r="Z81" s="48">
        <f>Gasoline!Z54</f>
        <v>1242.4130111943339</v>
      </c>
      <c r="AA81" s="48">
        <f>Gasoline!AA54</f>
        <v>1244.2003973468738</v>
      </c>
      <c r="AB81" s="48">
        <f>Gasoline!AB54</f>
        <v>1247.5280471937585</v>
      </c>
      <c r="AC81" s="48">
        <f>Gasoline!AC54</f>
        <v>1252.3604567555296</v>
      </c>
      <c r="AD81" s="48">
        <f>Gasoline!AD54</f>
        <v>1262.0808213186385</v>
      </c>
      <c r="AE81" s="48">
        <f>Gasoline!AE54</f>
        <v>1273.308710342378</v>
      </c>
      <c r="AF81" s="48">
        <f>Gasoline!AF54</f>
        <v>1286.0417974458014</v>
      </c>
    </row>
    <row r="82" spans="1:32" s="45" customFormat="1" ht="11.25">
      <c r="A82" s="45" t="s">
        <v>285</v>
      </c>
      <c r="G82" s="47"/>
      <c r="I82" s="87"/>
      <c r="J82" s="48">
        <f>Aviation!J54</f>
        <v>264.3529626015005</v>
      </c>
      <c r="K82" s="48">
        <f>Aviation!K54</f>
        <v>270.41622488202336</v>
      </c>
      <c r="L82" s="48">
        <f>Aviation!L54</f>
        <v>275.807970021627</v>
      </c>
      <c r="M82" s="48">
        <f>Aviation!M54</f>
        <v>280.52147374110507</v>
      </c>
      <c r="N82" s="48">
        <f>Aviation!N54</f>
        <v>284.55422631506417</v>
      </c>
      <c r="O82" s="48">
        <f>Aviation!O54</f>
        <v>287.90773983517767</v>
      </c>
      <c r="P82" s="48">
        <f>Aviation!P54</f>
        <v>290.587330257399</v>
      </c>
      <c r="Q82" s="48">
        <f>Aviation!Q54</f>
        <v>292.6018789665524</v>
      </c>
      <c r="R82" s="48">
        <f>Aviation!R54</f>
        <v>293.9635782456572</v>
      </c>
      <c r="S82" s="48">
        <f>Aviation!S54</f>
        <v>294.6876647159977</v>
      </c>
      <c r="T82" s="48">
        <f>Aviation!T54</f>
        <v>295.7531366067623</v>
      </c>
      <c r="U82" s="48">
        <f>Aviation!U54</f>
        <v>297.1350536860926</v>
      </c>
      <c r="V82" s="48">
        <f>Aviation!V54</f>
        <v>298.81254033305675</v>
      </c>
      <c r="W82" s="48">
        <f>Aviation!W54</f>
        <v>301.34120185102677</v>
      </c>
      <c r="X82" s="48">
        <f>Aviation!X54</f>
        <v>304.70430064719426</v>
      </c>
      <c r="Y82" s="48">
        <f>Aviation!Y54</f>
        <v>308.8938633682202</v>
      </c>
      <c r="Z82" s="48">
        <f>Aviation!Z54</f>
        <v>313.90984909382405</v>
      </c>
      <c r="AA82" s="48">
        <f>Aviation!AA54</f>
        <v>319.7595343544828</v>
      </c>
      <c r="AB82" s="48">
        <f>Aviation!AB54</f>
        <v>326.4570747115934</v>
      </c>
      <c r="AC82" s="48">
        <f>Aviation!AC54</f>
        <v>334.02321290031705</v>
      </c>
      <c r="AD82" s="48">
        <f>Aviation!AD54</f>
        <v>342.67033840203544</v>
      </c>
      <c r="AE82" s="48">
        <f>Aviation!AE54</f>
        <v>352.25700689456755</v>
      </c>
      <c r="AF82" s="48">
        <f>Aviation!AF54</f>
        <v>362.8247171014046</v>
      </c>
    </row>
    <row r="83" spans="1:32" s="45" customFormat="1" ht="11.25">
      <c r="A83" s="45" t="s">
        <v>137</v>
      </c>
      <c r="G83" s="47"/>
      <c r="I83" s="87"/>
      <c r="J83" s="48">
        <f>Other!J54</f>
        <v>2108.178300780901</v>
      </c>
      <c r="K83" s="48">
        <f>Other!K54</f>
        <v>2130.3696678249275</v>
      </c>
      <c r="L83" s="48">
        <f>Other!L54</f>
        <v>2151.0143590473485</v>
      </c>
      <c r="M83" s="48">
        <f>Other!M54</f>
        <v>2170.1017937824813</v>
      </c>
      <c r="N83" s="48">
        <f>Other!N54</f>
        <v>2187.624722499851</v>
      </c>
      <c r="O83" s="48">
        <f>Other!O54</f>
        <v>2203.579146208717</v>
      </c>
      <c r="P83" s="48">
        <f>Other!P54</f>
        <v>2217.9642287076704</v>
      </c>
      <c r="Q83" s="48">
        <f>Other!Q54</f>
        <v>2230.7822023309773</v>
      </c>
      <c r="R83" s="48">
        <f>Other!R54</f>
        <v>2242.038267835693</v>
      </c>
      <c r="S83" s="48">
        <f>Other!S54</f>
        <v>2251.7404890633106</v>
      </c>
      <c r="T83" s="48">
        <f>Other!T54</f>
        <v>2261.8555854603096</v>
      </c>
      <c r="U83" s="48">
        <f>Other!U54</f>
        <v>2272.375527645083</v>
      </c>
      <c r="V83" s="48">
        <f>Other!V54</f>
        <v>2283.2929562842087</v>
      </c>
      <c r="W83" s="48">
        <f>Other!W54</f>
        <v>2296.120697776776</v>
      </c>
      <c r="X83" s="48">
        <f>Other!X54</f>
        <v>2310.850605321062</v>
      </c>
      <c r="Y83" s="48">
        <f>Other!Y54</f>
        <v>2327.4797520660736</v>
      </c>
      <c r="Z83" s="48">
        <f>Other!Z54</f>
        <v>2346.010224876416</v>
      </c>
      <c r="AA83" s="48">
        <f>Other!AA54</f>
        <v>2366.448950371902</v>
      </c>
      <c r="AB83" s="48">
        <f>Other!AB54</f>
        <v>2388.8075503829245</v>
      </c>
      <c r="AC83" s="48">
        <f>Other!AC54</f>
        <v>2413.1022243499087</v>
      </c>
      <c r="AD83" s="48">
        <f>Other!AD54</f>
        <v>2445.9643710493706</v>
      </c>
      <c r="AE83" s="48">
        <f>Other!AE54</f>
        <v>2480.979523754399</v>
      </c>
      <c r="AF83" s="48">
        <f>Other!AF54</f>
        <v>2518.1942166107146</v>
      </c>
    </row>
    <row r="84" spans="7:32" s="45" customFormat="1" ht="11.25">
      <c r="G84" s="47"/>
      <c r="I84" s="87"/>
      <c r="J84" s="49"/>
      <c r="K84" s="49"/>
      <c r="L84" s="49"/>
      <c r="M84" s="49"/>
      <c r="N84" s="49"/>
      <c r="O84" s="49"/>
      <c r="P84" s="49"/>
      <c r="Q84" s="49"/>
      <c r="R84" s="49"/>
      <c r="S84" s="49"/>
      <c r="T84" s="49"/>
      <c r="U84" s="49"/>
      <c r="V84" s="49"/>
      <c r="W84" s="49"/>
      <c r="X84" s="49"/>
      <c r="Y84" s="49"/>
      <c r="Z84" s="49"/>
      <c r="AA84" s="49"/>
      <c r="AB84" s="49"/>
      <c r="AC84" s="49"/>
      <c r="AD84" s="49"/>
      <c r="AE84" s="49"/>
      <c r="AF84" s="49"/>
    </row>
    <row r="85" spans="1:33" s="9" customFormat="1" ht="12">
      <c r="A85" s="9" t="s">
        <v>168</v>
      </c>
      <c r="G85" s="27"/>
      <c r="I85" s="78"/>
      <c r="J85" s="29">
        <f>SUM(J86:J89)</f>
        <v>37.32023796281749</v>
      </c>
      <c r="K85" s="29">
        <f aca="true" t="shared" si="3" ref="K85:AF85">SUM(K86:K89)</f>
        <v>83.33950781259233</v>
      </c>
      <c r="L85" s="29">
        <f t="shared" si="3"/>
        <v>137.9795488478241</v>
      </c>
      <c r="M85" s="29">
        <f t="shared" si="3"/>
        <v>201.14332220467264</v>
      </c>
      <c r="N85" s="29">
        <f t="shared" si="3"/>
        <v>272.71649199465656</v>
      </c>
      <c r="O85" s="29">
        <f t="shared" si="3"/>
        <v>352.56892262516635</v>
      </c>
      <c r="P85" s="29">
        <f t="shared" si="3"/>
        <v>440.55617909543037</v>
      </c>
      <c r="Q85" s="29">
        <f t="shared" si="3"/>
        <v>536.5210186539696</v>
      </c>
      <c r="R85" s="29">
        <f t="shared" si="3"/>
        <v>640.2948636140175</v>
      </c>
      <c r="S85" s="29">
        <f t="shared" si="3"/>
        <v>751.699246395113</v>
      </c>
      <c r="T85" s="29">
        <f t="shared" si="3"/>
        <v>862.2892506950614</v>
      </c>
      <c r="U85" s="29">
        <f t="shared" si="3"/>
        <v>972.2349478258504</v>
      </c>
      <c r="V85" s="29">
        <f t="shared" si="3"/>
        <v>1081.6914690995134</v>
      </c>
      <c r="W85" s="29">
        <f t="shared" si="3"/>
        <v>1185.2759795533898</v>
      </c>
      <c r="X85" s="29">
        <f t="shared" si="3"/>
        <v>1283.2498330550582</v>
      </c>
      <c r="Y85" s="29">
        <f t="shared" si="3"/>
        <v>1375.8326214297679</v>
      </c>
      <c r="Z85" s="29">
        <f t="shared" si="3"/>
        <v>1463.206183803477</v>
      </c>
      <c r="AA85" s="29">
        <f t="shared" si="3"/>
        <v>1545.5179362758108</v>
      </c>
      <c r="AB85" s="29">
        <f t="shared" si="3"/>
        <v>1622.8836321887884</v>
      </c>
      <c r="AC85" s="29">
        <f t="shared" si="3"/>
        <v>1695.389640520761</v>
      </c>
      <c r="AD85" s="29">
        <f t="shared" si="3"/>
        <v>1733.232098126844</v>
      </c>
      <c r="AE85" s="29">
        <f t="shared" si="3"/>
        <v>1765.6822075554612</v>
      </c>
      <c r="AF85" s="29">
        <f t="shared" si="3"/>
        <v>1792.6561435934614</v>
      </c>
      <c r="AG85" s="29"/>
    </row>
    <row r="86" spans="1:32" ht="11.25">
      <c r="A86" s="45" t="s">
        <v>135</v>
      </c>
      <c r="J86" s="49">
        <f>J74-J80</f>
        <v>23.12385011056631</v>
      </c>
      <c r="K86" s="49">
        <f aca="true" t="shared" si="4" ref="K86:AF86">K74-K80</f>
        <v>49.90362577355745</v>
      </c>
      <c r="L86" s="49">
        <f t="shared" si="4"/>
        <v>80.2771323501679</v>
      </c>
      <c r="M86" s="49">
        <f t="shared" si="4"/>
        <v>114.17476653319136</v>
      </c>
      <c r="N86" s="49">
        <f t="shared" si="4"/>
        <v>151.520325430477</v>
      </c>
      <c r="O86" s="49">
        <f t="shared" si="4"/>
        <v>192.23179590694735</v>
      </c>
      <c r="P86" s="49">
        <f t="shared" si="4"/>
        <v>236.22212048940992</v>
      </c>
      <c r="Q86" s="49">
        <f t="shared" si="4"/>
        <v>283.3999366800076</v>
      </c>
      <c r="R86" s="49">
        <f t="shared" si="4"/>
        <v>333.6702870351414</v>
      </c>
      <c r="S86" s="49">
        <f t="shared" si="4"/>
        <v>386.93529784586826</v>
      </c>
      <c r="T86" s="49">
        <f t="shared" si="4"/>
        <v>439.8463808783381</v>
      </c>
      <c r="U86" s="49">
        <f t="shared" si="4"/>
        <v>492.4676053709268</v>
      </c>
      <c r="V86" s="49">
        <f t="shared" si="4"/>
        <v>544.858578851819</v>
      </c>
      <c r="W86" s="49">
        <f t="shared" si="4"/>
        <v>594.9672138411929</v>
      </c>
      <c r="X86" s="49">
        <f t="shared" si="4"/>
        <v>642.9219777450498</v>
      </c>
      <c r="Y86" s="49">
        <f t="shared" si="4"/>
        <v>688.8361941240541</v>
      </c>
      <c r="Z86" s="49">
        <f t="shared" si="4"/>
        <v>732.8095212433882</v>
      </c>
      <c r="AA86" s="49">
        <f t="shared" si="4"/>
        <v>774.9292368768233</v>
      </c>
      <c r="AB86" s="49">
        <f t="shared" si="4"/>
        <v>815.2713562898821</v>
      </c>
      <c r="AC86" s="49">
        <f t="shared" si="4"/>
        <v>853.901606110348</v>
      </c>
      <c r="AD86" s="49">
        <f t="shared" si="4"/>
        <v>871.2205301353388</v>
      </c>
      <c r="AE86" s="49">
        <f t="shared" si="4"/>
        <v>886.5399041270175</v>
      </c>
      <c r="AF86" s="49">
        <f t="shared" si="4"/>
        <v>899.8380026889226</v>
      </c>
    </row>
    <row r="87" spans="1:33" s="45" customFormat="1" ht="11.25">
      <c r="A87" s="45" t="s">
        <v>225</v>
      </c>
      <c r="G87" s="47"/>
      <c r="I87" s="87"/>
      <c r="J87" s="49">
        <f>J75-J81</f>
        <v>5.6484321552311485</v>
      </c>
      <c r="K87" s="49">
        <f aca="true" t="shared" si="5" ref="K87:AF87">K75-K81</f>
        <v>13.445994936244233</v>
      </c>
      <c r="L87" s="49">
        <f t="shared" si="5"/>
        <v>23.337545442291912</v>
      </c>
      <c r="M87" s="49">
        <f t="shared" si="5"/>
        <v>35.26403794288649</v>
      </c>
      <c r="N87" s="49">
        <f t="shared" si="5"/>
        <v>49.16295290837547</v>
      </c>
      <c r="O87" s="49">
        <f t="shared" si="5"/>
        <v>64.96872360138491</v>
      </c>
      <c r="P87" s="49">
        <f t="shared" si="5"/>
        <v>82.61315649241419</v>
      </c>
      <c r="Q87" s="49">
        <f t="shared" si="5"/>
        <v>102.02584241868294</v>
      </c>
      <c r="R87" s="49">
        <f t="shared" si="5"/>
        <v>123.13455595093433</v>
      </c>
      <c r="S87" s="49">
        <f t="shared" si="5"/>
        <v>145.86564089362037</v>
      </c>
      <c r="T87" s="49">
        <f t="shared" si="5"/>
        <v>168.0517503005858</v>
      </c>
      <c r="U87" s="49">
        <f t="shared" si="5"/>
        <v>189.74879685558767</v>
      </c>
      <c r="V87" s="49">
        <f t="shared" si="5"/>
        <v>211.00655667522915</v>
      </c>
      <c r="W87" s="49">
        <f t="shared" si="5"/>
        <v>230.54479835150414</v>
      </c>
      <c r="X87" s="49">
        <f t="shared" si="5"/>
        <v>248.45319515864526</v>
      </c>
      <c r="Y87" s="49">
        <f t="shared" si="5"/>
        <v>264.8083626685086</v>
      </c>
      <c r="Z87" s="49">
        <f t="shared" si="5"/>
        <v>279.67534068386885</v>
      </c>
      <c r="AA87" s="49">
        <f t="shared" si="5"/>
        <v>293.108838050111</v>
      </c>
      <c r="AB87" s="49">
        <f t="shared" si="5"/>
        <v>305.15428055719644</v>
      </c>
      <c r="AC87" s="49">
        <f t="shared" si="5"/>
        <v>315.8486942729346</v>
      </c>
      <c r="AD87" s="49">
        <f t="shared" si="5"/>
        <v>321.8104212201108</v>
      </c>
      <c r="AE87" s="49">
        <f t="shared" si="5"/>
        <v>326.4214446217586</v>
      </c>
      <c r="AF87" s="49">
        <f t="shared" si="5"/>
        <v>329.68565906797676</v>
      </c>
      <c r="AG87" s="49"/>
    </row>
    <row r="88" spans="1:256" s="45" customFormat="1" ht="11.25">
      <c r="A88" s="45" t="s">
        <v>285</v>
      </c>
      <c r="G88" s="47"/>
      <c r="I88" s="87"/>
      <c r="J88" s="49">
        <f>J76-J82</f>
        <v>1.005200340421311</v>
      </c>
      <c r="K88" s="49">
        <f>K76-K82</f>
        <v>2.902682948156155</v>
      </c>
      <c r="L88" s="49">
        <f>L76-L82</f>
        <v>5.710505043457886</v>
      </c>
      <c r="M88" s="49">
        <f>M76-M82</f>
        <v>9.442555575932431</v>
      </c>
      <c r="N88" s="49">
        <f>N76-N82</f>
        <v>14.108723881484423</v>
      </c>
      <c r="O88" s="49">
        <f>O76-O82</f>
        <v>19.715098867267443</v>
      </c>
      <c r="P88" s="49">
        <f>P76-P82</f>
        <v>26.26419360611942</v>
      </c>
      <c r="Q88" s="49">
        <f>Q76-Q82</f>
        <v>33.75519061287156</v>
      </c>
      <c r="R88" s="49">
        <f>R76-R82</f>
        <v>42.18420342114956</v>
      </c>
      <c r="S88" s="49">
        <f>S76-S82</f>
        <v>51.54455040081325</v>
      </c>
      <c r="T88" s="49">
        <f>T76-T82</f>
        <v>60.86604496355295</v>
      </c>
      <c r="U88" s="49">
        <f>U76-U82</f>
        <v>70.1827033313321</v>
      </c>
      <c r="V88" s="49">
        <f>V76-V82</f>
        <v>79.5247493948907</v>
      </c>
      <c r="W88" s="49">
        <f>W76-W82</f>
        <v>88.34620656875916</v>
      </c>
      <c r="X88" s="49">
        <f>X76-X82</f>
        <v>96.67373002518525</v>
      </c>
      <c r="Y88" s="49">
        <f>Y76-Y82</f>
        <v>104.52550822433068</v>
      </c>
      <c r="Z88" s="49">
        <f>Z76-Z82</f>
        <v>111.91210364650345</v>
      </c>
      <c r="AA88" s="49">
        <f>AA76-AA82</f>
        <v>118.83707696805453</v>
      </c>
      <c r="AB88" s="49">
        <f>AB76-AB82</f>
        <v>125.29743495062002</v>
      </c>
      <c r="AC88" s="49">
        <f>AC76-AC82</f>
        <v>131.28393205176275</v>
      </c>
      <c r="AD88" s="49">
        <f>AD76-AD82</f>
        <v>136.5960208986068</v>
      </c>
      <c r="AE88" s="49">
        <f>AE76-AE82</f>
        <v>141.38734318509393</v>
      </c>
      <c r="AF88" s="49">
        <f>AF76-AF82</f>
        <v>145.6289634806468</v>
      </c>
      <c r="AG88" s="49"/>
      <c r="IV88" s="49"/>
    </row>
    <row r="89" spans="1:33" s="45" customFormat="1" ht="11.25">
      <c r="A89" s="45" t="s">
        <v>137</v>
      </c>
      <c r="G89" s="47"/>
      <c r="I89" s="87"/>
      <c r="J89" s="49">
        <f>J77-J83</f>
        <v>7.542755356598718</v>
      </c>
      <c r="K89" s="49">
        <f aca="true" t="shared" si="6" ref="K89:AF89">K77-K83</f>
        <v>17.08720415463449</v>
      </c>
      <c r="L89" s="49">
        <f t="shared" si="6"/>
        <v>28.654366011906404</v>
      </c>
      <c r="M89" s="49">
        <f t="shared" si="6"/>
        <v>42.26196215266236</v>
      </c>
      <c r="N89" s="49">
        <f t="shared" si="6"/>
        <v>57.92448977431968</v>
      </c>
      <c r="O89" s="49">
        <f t="shared" si="6"/>
        <v>75.65330424956665</v>
      </c>
      <c r="P89" s="49">
        <f t="shared" si="6"/>
        <v>95.45670850748684</v>
      </c>
      <c r="Q89" s="49">
        <f t="shared" si="6"/>
        <v>117.34004894240752</v>
      </c>
      <c r="R89" s="49">
        <f t="shared" si="6"/>
        <v>141.3058172067922</v>
      </c>
      <c r="S89" s="49">
        <f t="shared" si="6"/>
        <v>167.35375725481117</v>
      </c>
      <c r="T89" s="49">
        <f t="shared" si="6"/>
        <v>193.52507455258456</v>
      </c>
      <c r="U89" s="49">
        <f t="shared" si="6"/>
        <v>219.83584226800394</v>
      </c>
      <c r="V89" s="49">
        <f t="shared" si="6"/>
        <v>246.30158417757457</v>
      </c>
      <c r="W89" s="49">
        <f t="shared" si="6"/>
        <v>271.4177607919337</v>
      </c>
      <c r="X89" s="49">
        <f t="shared" si="6"/>
        <v>295.2009301261778</v>
      </c>
      <c r="Y89" s="49">
        <f t="shared" si="6"/>
        <v>317.66255641287444</v>
      </c>
      <c r="Z89" s="49">
        <f t="shared" si="6"/>
        <v>338.8092182297164</v>
      </c>
      <c r="AA89" s="49">
        <f t="shared" si="6"/>
        <v>358.6427843808219</v>
      </c>
      <c r="AB89" s="49">
        <f t="shared" si="6"/>
        <v>377.1605603910898</v>
      </c>
      <c r="AC89" s="49">
        <f t="shared" si="6"/>
        <v>394.3554080857157</v>
      </c>
      <c r="AD89" s="49">
        <f t="shared" si="6"/>
        <v>403.60512587278754</v>
      </c>
      <c r="AE89" s="49">
        <f t="shared" si="6"/>
        <v>411.33351562159123</v>
      </c>
      <c r="AF89" s="49">
        <f t="shared" si="6"/>
        <v>417.5035183559153</v>
      </c>
      <c r="AG89" s="49"/>
    </row>
    <row r="90" spans="7:32" s="45" customFormat="1" ht="11.25">
      <c r="G90" s="47"/>
      <c r="I90" s="87"/>
      <c r="J90" s="48"/>
      <c r="K90" s="48"/>
      <c r="L90" s="48"/>
      <c r="M90" s="48"/>
      <c r="N90" s="48"/>
      <c r="O90" s="48"/>
      <c r="P90" s="48"/>
      <c r="Q90" s="48"/>
      <c r="R90" s="48"/>
      <c r="S90" s="48"/>
      <c r="T90" s="48"/>
      <c r="U90" s="48"/>
      <c r="V90" s="48"/>
      <c r="W90" s="48"/>
      <c r="X90" s="48"/>
      <c r="Y90" s="48"/>
      <c r="Z90" s="48"/>
      <c r="AA90" s="48"/>
      <c r="AB90" s="48"/>
      <c r="AC90" s="48"/>
      <c r="AD90" s="48"/>
      <c r="AE90" s="48"/>
      <c r="AF90" s="48"/>
    </row>
    <row r="91" spans="1:33" s="45" customFormat="1" ht="12">
      <c r="A91" s="9" t="s">
        <v>27</v>
      </c>
      <c r="G91" s="47"/>
      <c r="I91" s="87"/>
      <c r="J91" s="38">
        <f aca="true" t="shared" si="7" ref="J91:AF91">J85/J73</f>
        <v>0.006092197965232665</v>
      </c>
      <c r="K91" s="38">
        <f t="shared" si="7"/>
        <v>0.013408797793645478</v>
      </c>
      <c r="L91" s="38">
        <f t="shared" si="7"/>
        <v>0.02188047079104218</v>
      </c>
      <c r="M91" s="38">
        <f t="shared" si="7"/>
        <v>0.03143722900557226</v>
      </c>
      <c r="N91" s="38">
        <f t="shared" si="7"/>
        <v>0.04200880704344901</v>
      </c>
      <c r="O91" s="38">
        <f t="shared" si="7"/>
        <v>0.05352501932401835</v>
      </c>
      <c r="P91" s="38">
        <f t="shared" si="7"/>
        <v>0.06591609171135121</v>
      </c>
      <c r="Q91" s="38">
        <f t="shared" si="7"/>
        <v>0.07911296689838455</v>
      </c>
      <c r="R91" s="38">
        <f t="shared" si="7"/>
        <v>0.09304758328796914</v>
      </c>
      <c r="S91" s="38">
        <f t="shared" si="7"/>
        <v>0.10765312742583849</v>
      </c>
      <c r="T91" s="38">
        <f t="shared" si="7"/>
        <v>0.12169877594095846</v>
      </c>
      <c r="U91" s="38">
        <f t="shared" si="7"/>
        <v>0.13522230965592086</v>
      </c>
      <c r="V91" s="38">
        <f t="shared" si="7"/>
        <v>0.148257791860955</v>
      </c>
      <c r="W91" s="38">
        <f t="shared" si="7"/>
        <v>0.16008979933621484</v>
      </c>
      <c r="X91" s="38">
        <f t="shared" si="7"/>
        <v>0.17079629070431387</v>
      </c>
      <c r="Y91" s="38">
        <f t="shared" si="7"/>
        <v>0.18044663268031394</v>
      </c>
      <c r="Z91" s="38">
        <f t="shared" si="7"/>
        <v>0.1891026094461744</v>
      </c>
      <c r="AA91" s="38">
        <f t="shared" si="7"/>
        <v>0.19681928159284445</v>
      </c>
      <c r="AB91" s="38">
        <f t="shared" si="7"/>
        <v>0.2036457200256621</v>
      </c>
      <c r="AC91" s="38">
        <f t="shared" si="7"/>
        <v>0.20962563522736463</v>
      </c>
      <c r="AD91" s="38">
        <f t="shared" si="7"/>
        <v>0.21115974260560777</v>
      </c>
      <c r="AE91" s="38">
        <f t="shared" si="7"/>
        <v>0.21195271228904616</v>
      </c>
      <c r="AF91" s="38">
        <f t="shared" si="7"/>
        <v>0.21202540373313364</v>
      </c>
      <c r="AG91" s="49"/>
    </row>
    <row r="92" spans="1:33" s="45" customFormat="1" ht="6" customHeight="1">
      <c r="A92" s="9"/>
      <c r="G92" s="47"/>
      <c r="I92" s="87"/>
      <c r="J92" s="38"/>
      <c r="K92" s="38"/>
      <c r="L92" s="38"/>
      <c r="M92" s="38"/>
      <c r="N92" s="38"/>
      <c r="O92" s="38"/>
      <c r="P92" s="38"/>
      <c r="Q92" s="38"/>
      <c r="R92" s="38"/>
      <c r="S92" s="38"/>
      <c r="T92" s="38"/>
      <c r="U92" s="38"/>
      <c r="V92" s="38"/>
      <c r="W92" s="49"/>
      <c r="X92" s="49"/>
      <c r="Y92" s="49"/>
      <c r="Z92" s="49"/>
      <c r="AA92" s="49"/>
      <c r="AB92" s="49"/>
      <c r="AC92" s="49"/>
      <c r="AD92" s="49"/>
      <c r="AE92" s="49"/>
      <c r="AF92" s="49"/>
      <c r="AG92" s="49"/>
    </row>
    <row r="93" spans="1:33" s="45" customFormat="1" ht="12">
      <c r="A93" s="9" t="s">
        <v>28</v>
      </c>
      <c r="G93" s="47"/>
      <c r="I93" s="87"/>
      <c r="J93" s="38">
        <f>J91^(1/(J71-$J71+1))</f>
        <v>0.006092197965232665</v>
      </c>
      <c r="K93" s="38">
        <f aca="true" t="shared" si="8" ref="K93:AF93">1-(1-K91)^(1/(K71-$J71+1))</f>
        <v>0.006727025331729641</v>
      </c>
      <c r="L93" s="38">
        <f t="shared" si="8"/>
        <v>0.00734734147893179</v>
      </c>
      <c r="M93" s="38">
        <f t="shared" si="8"/>
        <v>0.007953697035503082</v>
      </c>
      <c r="N93" s="38">
        <f t="shared" si="8"/>
        <v>0.008546607157694841</v>
      </c>
      <c r="O93" s="38">
        <f t="shared" si="8"/>
        <v>0.009126554888156058</v>
      </c>
      <c r="P93" s="38">
        <f t="shared" si="8"/>
        <v>0.009693994100343661</v>
      </c>
      <c r="Q93" s="38">
        <f t="shared" si="8"/>
        <v>0.010249352092978392</v>
      </c>
      <c r="R93" s="38">
        <f t="shared" si="8"/>
        <v>0.010793031886815574</v>
      </c>
      <c r="S93" s="38">
        <f t="shared" si="8"/>
        <v>0.01132541426651612</v>
      </c>
      <c r="T93" s="38">
        <f t="shared" si="8"/>
        <v>0.011727568225262552</v>
      </c>
      <c r="U93" s="38">
        <f t="shared" si="8"/>
        <v>0.012033907220263207</v>
      </c>
      <c r="V93" s="38">
        <f t="shared" si="8"/>
        <v>0.01226807752608794</v>
      </c>
      <c r="W93" s="38">
        <f t="shared" si="8"/>
        <v>0.01238412742453221</v>
      </c>
      <c r="X93" s="38">
        <f t="shared" si="8"/>
        <v>0.012408335468237164</v>
      </c>
      <c r="Y93" s="38">
        <f t="shared" si="8"/>
        <v>0.012360212308877627</v>
      </c>
      <c r="Z93" s="38">
        <f t="shared" si="8"/>
        <v>0.012254515184284553</v>
      </c>
      <c r="AA93" s="38">
        <f t="shared" si="8"/>
        <v>0.012102586073445498</v>
      </c>
      <c r="AB93" s="38">
        <f t="shared" si="8"/>
        <v>0.011913264007619162</v>
      </c>
      <c r="AC93" s="38">
        <f t="shared" si="8"/>
        <v>0.011693521390969241</v>
      </c>
      <c r="AD93" s="38">
        <f t="shared" si="8"/>
        <v>0.011231283389893099</v>
      </c>
      <c r="AE93" s="38">
        <f t="shared" si="8"/>
        <v>0.010768742034877876</v>
      </c>
      <c r="AF93" s="38">
        <f t="shared" si="8"/>
        <v>0.010306925726639493</v>
      </c>
      <c r="AG93" s="49"/>
    </row>
    <row r="94" spans="1:33" s="45" customFormat="1" ht="12">
      <c r="A94" s="9"/>
      <c r="G94" s="47"/>
      <c r="I94" s="87"/>
      <c r="J94" s="38"/>
      <c r="K94" s="38"/>
      <c r="L94" s="38"/>
      <c r="M94" s="38"/>
      <c r="N94" s="38"/>
      <c r="O94" s="38"/>
      <c r="P94" s="38"/>
      <c r="Q94" s="38"/>
      <c r="R94" s="38"/>
      <c r="S94" s="38"/>
      <c r="T94" s="38"/>
      <c r="U94" s="38"/>
      <c r="V94" s="38"/>
      <c r="W94" s="38"/>
      <c r="X94" s="49"/>
      <c r="Y94" s="49"/>
      <c r="Z94" s="49"/>
      <c r="AA94" s="49"/>
      <c r="AB94" s="49"/>
      <c r="AC94" s="49"/>
      <c r="AD94" s="49"/>
      <c r="AE94" s="49"/>
      <c r="AF94" s="49"/>
      <c r="AG94" s="49"/>
    </row>
    <row r="95" spans="1:33" s="45" customFormat="1" ht="12">
      <c r="A95" s="9" t="s">
        <v>286</v>
      </c>
      <c r="G95" s="47"/>
      <c r="I95" s="87"/>
      <c r="J95" s="49"/>
      <c r="K95" s="49"/>
      <c r="L95" s="49"/>
      <c r="M95" s="49"/>
      <c r="N95" s="49"/>
      <c r="O95" s="49"/>
      <c r="P95" s="49"/>
      <c r="Q95" s="49"/>
      <c r="R95" s="49"/>
      <c r="S95" s="49"/>
      <c r="T95" s="49"/>
      <c r="U95" s="49"/>
      <c r="V95" s="49"/>
      <c r="W95" s="49"/>
      <c r="X95" s="49"/>
      <c r="Y95" s="49"/>
      <c r="Z95" s="49"/>
      <c r="AA95" s="49"/>
      <c r="AB95" s="49"/>
      <c r="AC95" s="49"/>
      <c r="AD95" s="49"/>
      <c r="AE95" s="49"/>
      <c r="AF95" s="49"/>
      <c r="AG95" s="49"/>
    </row>
    <row r="96" spans="1:33" s="45" customFormat="1" ht="11.25">
      <c r="A96" s="45" t="s">
        <v>135</v>
      </c>
      <c r="G96" s="47"/>
      <c r="I96" s="87"/>
      <c r="J96" s="50">
        <f>J86/J$85</f>
        <v>0.6196061807967255</v>
      </c>
      <c r="K96" s="50">
        <f>K86/K$85</f>
        <v>0.5987991420080978</v>
      </c>
      <c r="L96" s="50">
        <f>L86/L$85</f>
        <v>0.5818045719130778</v>
      </c>
      <c r="M96" s="50">
        <f>M86/M$85</f>
        <v>0.5676289189308171</v>
      </c>
      <c r="N96" s="50">
        <f>N86/N$85</f>
        <v>0.5555964889481116</v>
      </c>
      <c r="O96" s="50">
        <f>O86/O$85</f>
        <v>0.5452318215559758</v>
      </c>
      <c r="P96" s="50">
        <f>P86/P$85</f>
        <v>0.5361906873589465</v>
      </c>
      <c r="Q96" s="50">
        <f>Q86/Q$85</f>
        <v>0.5282177712086747</v>
      </c>
      <c r="R96" s="50">
        <f>R86/R$85</f>
        <v>0.5211197309186671</v>
      </c>
      <c r="S96" s="50">
        <f>S86/S$85</f>
        <v>0.5147474867129038</v>
      </c>
      <c r="T96" s="50">
        <f>T86/T$85</f>
        <v>0.5100914577374045</v>
      </c>
      <c r="U96" s="50">
        <f>U86/U$85</f>
        <v>0.5065314782935976</v>
      </c>
      <c r="V96" s="50">
        <f>V86/V$85</f>
        <v>0.5037097864009252</v>
      </c>
      <c r="W96" s="50">
        <f>W86/W$85</f>
        <v>0.5019651322600629</v>
      </c>
      <c r="X96" s="50">
        <f>X86/X$85</f>
        <v>0.5010107628180499</v>
      </c>
      <c r="Y96" s="50">
        <f>Y86/Y$85</f>
        <v>0.5006686012490489</v>
      </c>
      <c r="Z96" s="50">
        <f>Z86/Z$85</f>
        <v>0.5008245108276632</v>
      </c>
      <c r="AA96" s="50">
        <f>AA86/AA$85</f>
        <v>0.5014042339386546</v>
      </c>
      <c r="AB96" s="50">
        <f>AB86/AB$85</f>
        <v>0.5023597133642435</v>
      </c>
      <c r="AC96" s="50">
        <f>AC86/AC$85</f>
        <v>0.5036609789877334</v>
      </c>
      <c r="AD96" s="50">
        <f>AD86/AD$85</f>
        <v>0.502656586545387</v>
      </c>
      <c r="AE96" s="50">
        <f>AE86/AE$85</f>
        <v>0.5020948278990747</v>
      </c>
      <c r="AF96" s="50">
        <f>AF86/AF$85</f>
        <v>0.5019579498861149</v>
      </c>
      <c r="AG96" s="49"/>
    </row>
    <row r="97" spans="1:33" s="45" customFormat="1" ht="11.25">
      <c r="A97" s="45" t="s">
        <v>226</v>
      </c>
      <c r="G97" s="47"/>
      <c r="I97" s="87"/>
      <c r="J97" s="50">
        <f>J87/J$85</f>
        <v>0.15135037887107622</v>
      </c>
      <c r="K97" s="50">
        <f>K87/K$85</f>
        <v>0.16133998495024213</v>
      </c>
      <c r="L97" s="50">
        <f>L87/L$85</f>
        <v>0.16913771379286502</v>
      </c>
      <c r="M97" s="50">
        <f>M87/M$85</f>
        <v>0.1753179651025337</v>
      </c>
      <c r="N97" s="50">
        <f>N87/N$85</f>
        <v>0.18027128667135664</v>
      </c>
      <c r="O97" s="50">
        <f>O87/O$85</f>
        <v>0.18427240585369575</v>
      </c>
      <c r="P97" s="50">
        <f>P87/P$85</f>
        <v>0.18752014025098732</v>
      </c>
      <c r="Q97" s="50">
        <f>Q87/Q$85</f>
        <v>0.1901618741324368</v>
      </c>
      <c r="R97" s="50">
        <f>R87/R$85</f>
        <v>0.19230914215979453</v>
      </c>
      <c r="S97" s="50">
        <f>S87/S$85</f>
        <v>0.19404787432359552</v>
      </c>
      <c r="T97" s="50">
        <f>T87/T$85</f>
        <v>0.19489022989110108</v>
      </c>
      <c r="U97" s="50">
        <f>U87/U$85</f>
        <v>0.19516763646473653</v>
      </c>
      <c r="V97" s="50">
        <f>V87/V$85</f>
        <v>0.195070926140231</v>
      </c>
      <c r="W97" s="50">
        <f>W87/W$85</f>
        <v>0.19450727284490577</v>
      </c>
      <c r="X97" s="50">
        <f>X87/X$85</f>
        <v>0.19361248975746823</v>
      </c>
      <c r="Y97" s="50">
        <f>Y87/Y$85</f>
        <v>0.19247135047090194</v>
      </c>
      <c r="Z97" s="50">
        <f>Z87/Z$85</f>
        <v>0.1911387088023898</v>
      </c>
      <c r="AA97" s="50">
        <f>AA87/AA$85</f>
        <v>0.18965088089265839</v>
      </c>
      <c r="AB97" s="50">
        <f>AB87/AB$85</f>
        <v>0.18803213890673964</v>
      </c>
      <c r="AC97" s="50">
        <f>AC87/AC$85</f>
        <v>0.1862985868994207</v>
      </c>
      <c r="AD97" s="50">
        <f>AD87/AD$85</f>
        <v>0.1856707024800089</v>
      </c>
      <c r="AE97" s="50">
        <f>AE87/AE$85</f>
        <v>0.184869872520084</v>
      </c>
      <c r="AF97" s="50">
        <f>AF87/AF$85</f>
        <v>0.1839090336683904</v>
      </c>
      <c r="AG97" s="49"/>
    </row>
    <row r="98" spans="1:33" s="45" customFormat="1" ht="11.25">
      <c r="A98" s="45" t="s">
        <v>285</v>
      </c>
      <c r="G98" s="47"/>
      <c r="I98" s="87"/>
      <c r="J98" s="50">
        <f>J88/J$85</f>
        <v>0.026934456886979173</v>
      </c>
      <c r="K98" s="50">
        <f>K88/K$85</f>
        <v>0.03482961472106953</v>
      </c>
      <c r="L98" s="50">
        <f>L88/L$85</f>
        <v>0.04138660468991625</v>
      </c>
      <c r="M98" s="50">
        <f>M88/M$85</f>
        <v>0.04694441491984603</v>
      </c>
      <c r="N98" s="50">
        <f>N88/N$85</f>
        <v>0.05173403257827495</v>
      </c>
      <c r="O98" s="50">
        <f>O88/O$85</f>
        <v>0.055918425028707225</v>
      </c>
      <c r="P98" s="50">
        <f>P88/P$85</f>
        <v>0.0596159919037936</v>
      </c>
      <c r="Q98" s="50">
        <f>Q88/Q$85</f>
        <v>0.06291494543411737</v>
      </c>
      <c r="R98" s="50">
        <f>R88/R$85</f>
        <v>0.06588246418696721</v>
      </c>
      <c r="S98" s="50">
        <f>S88/S$85</f>
        <v>0.06857070916061564</v>
      </c>
      <c r="T98" s="50">
        <f>T88/T$85</f>
        <v>0.07058657511327081</v>
      </c>
      <c r="U98" s="50">
        <f>U88/U$85</f>
        <v>0.0721869785572689</v>
      </c>
      <c r="V98" s="50">
        <f>V88/V$85</f>
        <v>0.07351888377292416</v>
      </c>
      <c r="W98" s="50">
        <f>W88/W$85</f>
        <v>0.07453640172649738</v>
      </c>
      <c r="X98" s="50">
        <f>X88/X$85</f>
        <v>0.07533508092888834</v>
      </c>
      <c r="Y98" s="50">
        <f>Y88/Y$85</f>
        <v>0.07597254680275539</v>
      </c>
      <c r="Z98" s="50">
        <f>Z88/Z$85</f>
        <v>0.07648416531127397</v>
      </c>
      <c r="AA98" s="50">
        <f>AA88/AA$85</f>
        <v>0.07689142531364776</v>
      </c>
      <c r="AB98" s="50">
        <f>AB88/AB$85</f>
        <v>0.07720666624854117</v>
      </c>
      <c r="AC98" s="50">
        <f>AC88/AC$85</f>
        <v>0.07743584655350211</v>
      </c>
      <c r="AD98" s="50">
        <f>AD88/AD$85</f>
        <v>0.07880999956453047</v>
      </c>
      <c r="AE98" s="50">
        <f>AE88/AE$85</f>
        <v>0.0800751927952204</v>
      </c>
      <c r="AF98" s="50">
        <f>AF88/AF$85</f>
        <v>0.08123641781559227</v>
      </c>
      <c r="AG98" s="49"/>
    </row>
    <row r="99" spans="1:33" s="45" customFormat="1" ht="11.25">
      <c r="A99" s="45" t="s">
        <v>137</v>
      </c>
      <c r="G99" s="47"/>
      <c r="I99" s="87"/>
      <c r="J99" s="50">
        <f aca="true" t="shared" si="9" ref="J99:Y99">J89/J$85</f>
        <v>0.20210898344521913</v>
      </c>
      <c r="K99" s="50">
        <f t="shared" si="9"/>
        <v>0.20503125832059055</v>
      </c>
      <c r="L99" s="50">
        <f t="shared" si="9"/>
        <v>0.20767110960414098</v>
      </c>
      <c r="M99" s="50">
        <f t="shared" si="9"/>
        <v>0.21010870104680313</v>
      </c>
      <c r="N99" s="50">
        <f t="shared" si="9"/>
        <v>0.21239819180225675</v>
      </c>
      <c r="O99" s="50">
        <f t="shared" si="9"/>
        <v>0.21457734756162117</v>
      </c>
      <c r="P99" s="50">
        <f t="shared" si="9"/>
        <v>0.21667318048627265</v>
      </c>
      <c r="Q99" s="50">
        <f t="shared" si="9"/>
        <v>0.2187054092247712</v>
      </c>
      <c r="R99" s="50">
        <f t="shared" si="9"/>
        <v>0.22068866273457124</v>
      </c>
      <c r="S99" s="50">
        <f t="shared" si="9"/>
        <v>0.22263392980288502</v>
      </c>
      <c r="T99" s="50">
        <f t="shared" si="9"/>
        <v>0.22443173725822366</v>
      </c>
      <c r="U99" s="50">
        <f t="shared" si="9"/>
        <v>0.22611390668439701</v>
      </c>
      <c r="V99" s="50">
        <f t="shared" si="9"/>
        <v>0.22770040368591954</v>
      </c>
      <c r="W99" s="50">
        <f t="shared" si="9"/>
        <v>0.22899119316853403</v>
      </c>
      <c r="X99" s="50">
        <f t="shared" si="9"/>
        <v>0.23004166649559357</v>
      </c>
      <c r="Y99" s="50">
        <f t="shared" si="9"/>
        <v>0.23088750147729373</v>
      </c>
      <c r="Z99" s="50">
        <f aca="true" t="shared" si="10" ref="Z99:AF99">Z89/Z$85</f>
        <v>0.23155261505867297</v>
      </c>
      <c r="AA99" s="50">
        <f t="shared" si="10"/>
        <v>0.23205345985503922</v>
      </c>
      <c r="AB99" s="50">
        <f t="shared" si="10"/>
        <v>0.23240148148047568</v>
      </c>
      <c r="AC99" s="50">
        <f t="shared" si="10"/>
        <v>0.23260458755934374</v>
      </c>
      <c r="AD99" s="50">
        <f t="shared" si="10"/>
        <v>0.23286271141007353</v>
      </c>
      <c r="AE99" s="50">
        <f t="shared" si="10"/>
        <v>0.23296010678562099</v>
      </c>
      <c r="AF99" s="50">
        <f t="shared" si="10"/>
        <v>0.23289659862990253</v>
      </c>
      <c r="AG99" s="49"/>
    </row>
    <row r="100" spans="7:33" s="45" customFormat="1" ht="11.25">
      <c r="G100" s="47"/>
      <c r="I100" s="87"/>
      <c r="J100" s="50"/>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row>
    <row r="101" spans="1:33" s="9" customFormat="1" ht="12">
      <c r="A101" s="9" t="s">
        <v>241</v>
      </c>
      <c r="G101" s="27"/>
      <c r="I101" s="78"/>
      <c r="J101" s="29">
        <f aca="true" t="shared" si="11" ref="J101:AF101">SUM(J102:J105)</f>
        <v>37.32023796281749</v>
      </c>
      <c r="K101" s="29">
        <f t="shared" si="11"/>
        <v>-6.039122597359778</v>
      </c>
      <c r="L101" s="29">
        <f t="shared" si="11"/>
        <v>-42.172899136080844</v>
      </c>
      <c r="M101" s="29">
        <f t="shared" si="11"/>
        <v>-71.20199162519282</v>
      </c>
      <c r="N101" s="29">
        <f t="shared" si="11"/>
        <v>-93.26505595750996</v>
      </c>
      <c r="O101" s="29">
        <f t="shared" si="11"/>
        <v>-108.51701666894866</v>
      </c>
      <c r="P101" s="29">
        <f t="shared" si="11"/>
        <v>-117.12757693191759</v>
      </c>
      <c r="Q101" s="29">
        <f t="shared" si="11"/>
        <v>-119.27973744052923</v>
      </c>
      <c r="R101" s="29">
        <f t="shared" si="11"/>
        <v>-115.16833439793578</v>
      </c>
      <c r="S101" s="29">
        <f t="shared" si="11"/>
        <v>-104.9986055445595</v>
      </c>
      <c r="T101" s="29">
        <f t="shared" si="11"/>
        <v>-97.24276033019368</v>
      </c>
      <c r="U101" s="29">
        <f t="shared" si="11"/>
        <v>-91.75855520373744</v>
      </c>
      <c r="V101" s="29">
        <f t="shared" si="11"/>
        <v>-88.41923314220537</v>
      </c>
      <c r="W101" s="29">
        <f t="shared" si="11"/>
        <v>-92.63656213728257</v>
      </c>
      <c r="X101" s="29">
        <f t="shared" si="11"/>
        <v>-104.17869260724387</v>
      </c>
      <c r="Y101" s="29">
        <f t="shared" si="11"/>
        <v>-122.85612109959573</v>
      </c>
      <c r="Z101" s="29">
        <f t="shared" si="11"/>
        <v>-148.517694099849</v>
      </c>
      <c r="AA101" s="29">
        <f t="shared" si="11"/>
        <v>-181.04729184079423</v>
      </c>
      <c r="AB101" s="29">
        <f t="shared" si="11"/>
        <v>-220.3610818554335</v>
      </c>
      <c r="AC101" s="29">
        <f t="shared" si="11"/>
        <v>-266.40525475331697</v>
      </c>
      <c r="AD101" s="29">
        <f t="shared" si="11"/>
        <v>-349.0168865084986</v>
      </c>
      <c r="AE101" s="29">
        <f t="shared" si="11"/>
        <v>-438.95865553924216</v>
      </c>
      <c r="AF101" s="29">
        <f t="shared" si="11"/>
        <v>-536.3489514370524</v>
      </c>
      <c r="AG101" s="29"/>
    </row>
    <row r="102" spans="1:33" s="45" customFormat="1" ht="11.25">
      <c r="A102" s="45" t="s">
        <v>135</v>
      </c>
      <c r="G102" s="47"/>
      <c r="I102" s="87"/>
      <c r="J102" s="49">
        <f>$J74-J80</f>
        <v>23.12385011056631</v>
      </c>
      <c r="K102" s="49">
        <f aca="true" t="shared" si="12" ref="K102:AF102">$J74-K80</f>
        <v>13.202249188308542</v>
      </c>
      <c r="L102" s="49">
        <f t="shared" si="12"/>
        <v>6.323858530890902</v>
      </c>
      <c r="M102" s="49">
        <f t="shared" si="12"/>
        <v>2.410817021375351</v>
      </c>
      <c r="N102" s="49">
        <f t="shared" si="12"/>
        <v>1.3785400907340772</v>
      </c>
      <c r="O102" s="49">
        <f t="shared" si="12"/>
        <v>3.136507201859331</v>
      </c>
      <c r="P102" s="49">
        <f t="shared" si="12"/>
        <v>7.589025868496265</v>
      </c>
      <c r="Q102" s="49">
        <f t="shared" si="12"/>
        <v>14.63596905453096</v>
      </c>
      <c r="R102" s="49">
        <f t="shared" si="12"/>
        <v>24.173483310033134</v>
      </c>
      <c r="S102" s="49">
        <f t="shared" si="12"/>
        <v>36.09466547963393</v>
      </c>
      <c r="T102" s="49">
        <f t="shared" si="12"/>
        <v>47.04176244136033</v>
      </c>
      <c r="U102" s="49">
        <f t="shared" si="12"/>
        <v>57.06954107214597</v>
      </c>
      <c r="V102" s="49">
        <f t="shared" si="12"/>
        <v>66.22816700330668</v>
      </c>
      <c r="W102" s="49">
        <f t="shared" si="12"/>
        <v>72.4559692297039</v>
      </c>
      <c r="X102" s="49">
        <f t="shared" si="12"/>
        <v>75.87168787913924</v>
      </c>
      <c r="Y102" s="49">
        <f t="shared" si="12"/>
        <v>76.57877332490625</v>
      </c>
      <c r="Z102" s="49">
        <f t="shared" si="12"/>
        <v>74.66686254700335</v>
      </c>
      <c r="AA102" s="49">
        <f t="shared" si="12"/>
        <v>70.21306171474271</v>
      </c>
      <c r="AB102" s="49">
        <f t="shared" si="12"/>
        <v>63.28306191512138</v>
      </c>
      <c r="AC102" s="49">
        <f t="shared" si="12"/>
        <v>53.932110734716844</v>
      </c>
      <c r="AD102" s="49">
        <f t="shared" si="12"/>
        <v>22.550115743824335</v>
      </c>
      <c r="AE102" s="49">
        <f t="shared" si="12"/>
        <v>-11.561943065619289</v>
      </c>
      <c r="AF102" s="49">
        <f t="shared" si="12"/>
        <v>-48.43674879685341</v>
      </c>
      <c r="AG102" s="49"/>
    </row>
    <row r="103" spans="1:33" ht="11.25">
      <c r="A103" s="45" t="s">
        <v>226</v>
      </c>
      <c r="J103" s="49">
        <f>$J75-J81</f>
        <v>5.6484321552311485</v>
      </c>
      <c r="K103" s="49">
        <f aca="true" t="shared" si="13" ref="K103:AF103">$J75-K81</f>
        <v>0.46530184186121915</v>
      </c>
      <c r="L103" s="49">
        <f t="shared" si="13"/>
        <v>-2.7536476774175753</v>
      </c>
      <c r="M103" s="49">
        <f t="shared" si="13"/>
        <v>-4.068760202403155</v>
      </c>
      <c r="N103" s="49">
        <f t="shared" si="13"/>
        <v>-3.543866312750197</v>
      </c>
      <c r="O103" s="49">
        <f t="shared" si="13"/>
        <v>-1.2458569063348932</v>
      </c>
      <c r="P103" s="49">
        <f t="shared" si="13"/>
        <v>2.755737085234159</v>
      </c>
      <c r="Q103" s="49">
        <f t="shared" si="13"/>
        <v>8.389155723048134</v>
      </c>
      <c r="R103" s="49">
        <f t="shared" si="13"/>
        <v>15.580809293960101</v>
      </c>
      <c r="S103" s="49">
        <f t="shared" si="13"/>
        <v>24.25566367569354</v>
      </c>
      <c r="T103" s="49">
        <f t="shared" si="13"/>
        <v>32.244980216096565</v>
      </c>
      <c r="U103" s="49">
        <f t="shared" si="13"/>
        <v>39.60326597587073</v>
      </c>
      <c r="V103" s="49">
        <f t="shared" si="13"/>
        <v>46.378877392332015</v>
      </c>
      <c r="W103" s="49">
        <f t="shared" si="13"/>
        <v>51.29014918139501</v>
      </c>
      <c r="X103" s="49">
        <f t="shared" si="13"/>
        <v>54.42530640245195</v>
      </c>
      <c r="Y103" s="49">
        <f t="shared" si="13"/>
        <v>55.85950193037047</v>
      </c>
      <c r="Z103" s="49">
        <f t="shared" si="13"/>
        <v>55.656298243966376</v>
      </c>
      <c r="AA103" s="49">
        <f t="shared" si="13"/>
        <v>53.86891209142641</v>
      </c>
      <c r="AB103" s="49">
        <f t="shared" si="13"/>
        <v>50.54126224454171</v>
      </c>
      <c r="AC103" s="49">
        <f t="shared" si="13"/>
        <v>45.70885268277061</v>
      </c>
      <c r="AD103" s="49">
        <f t="shared" si="13"/>
        <v>35.988488119661724</v>
      </c>
      <c r="AE103" s="49">
        <f t="shared" si="13"/>
        <v>24.760599095922316</v>
      </c>
      <c r="AF103" s="49">
        <f t="shared" si="13"/>
        <v>12.02751199249883</v>
      </c>
      <c r="AG103" s="49"/>
    </row>
    <row r="104" spans="1:33" ht="11.25">
      <c r="A104" s="45" t="s">
        <v>285</v>
      </c>
      <c r="J104" s="49">
        <f>$J76-J82</f>
        <v>1.005200340421311</v>
      </c>
      <c r="K104" s="49">
        <f>$J76-K82</f>
        <v>-5.058061940101538</v>
      </c>
      <c r="L104" s="49">
        <f>$J76-L82</f>
        <v>-10.449807079705181</v>
      </c>
      <c r="M104" s="49">
        <f>$J76-M82</f>
        <v>-15.16331079918325</v>
      </c>
      <c r="N104" s="49">
        <f>$J76-N82</f>
        <v>-19.19606337314235</v>
      </c>
      <c r="O104" s="49">
        <f>$J76-O82</f>
        <v>-22.549576893255846</v>
      </c>
      <c r="P104" s="49">
        <f>$J76-P82</f>
        <v>-25.229167315477184</v>
      </c>
      <c r="Q104" s="49">
        <f>$J76-Q82</f>
        <v>-27.2437160246306</v>
      </c>
      <c r="R104" s="49">
        <f>$J76-R82</f>
        <v>-28.605415303735356</v>
      </c>
      <c r="S104" s="49">
        <f>$J76-S82</f>
        <v>-29.32950177407588</v>
      </c>
      <c r="T104" s="49">
        <f>$J76-T82</f>
        <v>-30.394973664840506</v>
      </c>
      <c r="U104" s="49">
        <f>$J76-U82</f>
        <v>-31.77689074417077</v>
      </c>
      <c r="V104" s="49">
        <f>$J76-V82</f>
        <v>-33.454377391134926</v>
      </c>
      <c r="W104" s="49">
        <f>$J76-W82</f>
        <v>-35.98303890910495</v>
      </c>
      <c r="X104" s="49">
        <f>$J76-X82</f>
        <v>-39.34613770527244</v>
      </c>
      <c r="Y104" s="49">
        <f>$J76-Y82</f>
        <v>-43.535700426298376</v>
      </c>
      <c r="Z104" s="49">
        <f>$J76-Z82</f>
        <v>-48.55168615190223</v>
      </c>
      <c r="AA104" s="49">
        <f>$J76-AA82</f>
        <v>-54.40137141256099</v>
      </c>
      <c r="AB104" s="49">
        <f>$J76-AB82</f>
        <v>-61.09891176967159</v>
      </c>
      <c r="AC104" s="49">
        <f>$J76-AC82</f>
        <v>-68.66504995839523</v>
      </c>
      <c r="AD104" s="49">
        <f>$J76-AD82</f>
        <v>-77.31217546011362</v>
      </c>
      <c r="AE104" s="49">
        <f>$J76-AE82</f>
        <v>-86.89884395264573</v>
      </c>
      <c r="AF104" s="49">
        <f>$J76-AF82</f>
        <v>-97.46655415948277</v>
      </c>
      <c r="AG104" s="49"/>
    </row>
    <row r="105" spans="1:33" s="9" customFormat="1" ht="12">
      <c r="A105" s="45" t="s">
        <v>137</v>
      </c>
      <c r="G105" s="27"/>
      <c r="I105" s="78"/>
      <c r="J105" s="49">
        <f>$J77-J83</f>
        <v>7.542755356598718</v>
      </c>
      <c r="K105" s="49">
        <f aca="true" t="shared" si="14" ref="K105:AF105">$J77-K83</f>
        <v>-14.648611687428001</v>
      </c>
      <c r="L105" s="49">
        <f t="shared" si="14"/>
        <v>-35.29330290984899</v>
      </c>
      <c r="M105" s="49">
        <f t="shared" si="14"/>
        <v>-54.380737644981764</v>
      </c>
      <c r="N105" s="49">
        <f t="shared" si="14"/>
        <v>-71.90366636235149</v>
      </c>
      <c r="O105" s="49">
        <f t="shared" si="14"/>
        <v>-87.85809007121725</v>
      </c>
      <c r="P105" s="49">
        <f t="shared" si="14"/>
        <v>-102.24317257017083</v>
      </c>
      <c r="Q105" s="49">
        <f t="shared" si="14"/>
        <v>-115.06114619347773</v>
      </c>
      <c r="R105" s="49">
        <f t="shared" si="14"/>
        <v>-126.31721169819366</v>
      </c>
      <c r="S105" s="49">
        <f t="shared" si="14"/>
        <v>-136.0194329258111</v>
      </c>
      <c r="T105" s="49">
        <f t="shared" si="14"/>
        <v>-146.13452932281007</v>
      </c>
      <c r="U105" s="49">
        <f t="shared" si="14"/>
        <v>-156.65447150758337</v>
      </c>
      <c r="V105" s="49">
        <f t="shared" si="14"/>
        <v>-167.57190014670914</v>
      </c>
      <c r="W105" s="49">
        <f t="shared" si="14"/>
        <v>-180.39964163927652</v>
      </c>
      <c r="X105" s="49">
        <f t="shared" si="14"/>
        <v>-195.12954918356263</v>
      </c>
      <c r="Y105" s="49">
        <f t="shared" si="14"/>
        <v>-211.75869592857407</v>
      </c>
      <c r="Z105" s="49">
        <f t="shared" si="14"/>
        <v>-230.2891687389165</v>
      </c>
      <c r="AA105" s="49">
        <f t="shared" si="14"/>
        <v>-250.72789423440236</v>
      </c>
      <c r="AB105" s="49">
        <f t="shared" si="14"/>
        <v>-273.086494245425</v>
      </c>
      <c r="AC105" s="49">
        <f t="shared" si="14"/>
        <v>-297.3811682124092</v>
      </c>
      <c r="AD105" s="49">
        <f t="shared" si="14"/>
        <v>-330.24331491187104</v>
      </c>
      <c r="AE105" s="49">
        <f t="shared" si="14"/>
        <v>-365.25846761689945</v>
      </c>
      <c r="AF105" s="49">
        <f t="shared" si="14"/>
        <v>-402.4731604732151</v>
      </c>
      <c r="AG105" s="49"/>
    </row>
    <row r="106" spans="7:33" s="45" customFormat="1" ht="11.25">
      <c r="G106" s="47"/>
      <c r="I106" s="87"/>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row>
    <row r="107" spans="1:33" s="9" customFormat="1" ht="12">
      <c r="A107" s="9" t="s">
        <v>235</v>
      </c>
      <c r="G107" s="27"/>
      <c r="I107" s="78"/>
      <c r="J107" s="51">
        <f>ROUND(Electricity!J59+Gasoline!J59+Aviation!J59+Other!J57,-2)</f>
        <v>35600</v>
      </c>
      <c r="K107" s="51">
        <f>ROUND(Electricity!K59+Gasoline!K59+Aviation!K59+Other!K57,-2)</f>
        <v>71700</v>
      </c>
      <c r="L107" s="51">
        <f>ROUND(Electricity!L59+Gasoline!L59+Aviation!L59+Other!L57,-2)</f>
        <v>108300</v>
      </c>
      <c r="M107" s="51">
        <f>ROUND(Electricity!M59+Gasoline!M59+Aviation!M59+Other!M57,-2)</f>
        <v>145200</v>
      </c>
      <c r="N107" s="51">
        <f>ROUND(Electricity!N59+Gasoline!N59+Aviation!N59+Other!N57,-2)</f>
        <v>182200</v>
      </c>
      <c r="O107" s="51">
        <f>ROUND(Electricity!O59+Gasoline!O59+Aviation!O59+Other!O57,-2)</f>
        <v>219300</v>
      </c>
      <c r="P107" s="51">
        <f>ROUND(Electricity!P59+Gasoline!P59+Aviation!P59+Other!P57,-2)</f>
        <v>256100</v>
      </c>
      <c r="Q107" s="51">
        <f>ROUND(Electricity!Q59+Gasoline!Q59+Aviation!Q59+Other!Q57,-2)</f>
        <v>292800</v>
      </c>
      <c r="R107" s="51">
        <f>ROUND(Electricity!R59+Gasoline!R59+Aviation!R59+Other!R57,-2)</f>
        <v>329000</v>
      </c>
      <c r="S107" s="51">
        <f>ROUND(Electricity!S59+Gasoline!S59+Aviation!S59+Other!S57,-2)</f>
        <v>364700</v>
      </c>
      <c r="T107" s="51">
        <f>ROUND(Electricity!T59+Gasoline!T59+Aviation!T59+Other!T57,-2)</f>
        <v>400500</v>
      </c>
      <c r="U107" s="51">
        <f>ROUND(Electricity!U59+Gasoline!U59+Aviation!U59+Other!U57,-2)</f>
        <v>436400</v>
      </c>
      <c r="V107" s="51">
        <f>ROUND(Electricity!V59+Gasoline!V59+Aviation!V59+Other!V57,-2)</f>
        <v>472400</v>
      </c>
      <c r="W107" s="51">
        <f>ROUND(Electricity!W59+Gasoline!W59+Aviation!W59+Other!W57,-2)</f>
        <v>509000</v>
      </c>
      <c r="X107" s="51">
        <f>ROUND(Electricity!X59+Gasoline!X59+Aviation!X59+Other!X57,-2)</f>
        <v>546500</v>
      </c>
      <c r="Y107" s="51">
        <f>ROUND(Electricity!Y59+Gasoline!Y59+Aviation!Y59+Other!Y57,-2)</f>
        <v>584900</v>
      </c>
      <c r="Z107" s="51">
        <f>ROUND(Electricity!Z59+Gasoline!Z59+Aviation!Z59+Other!Z57,-2)</f>
        <v>624400</v>
      </c>
      <c r="AA107" s="51">
        <f>ROUND(Electricity!AA59+Gasoline!AA59+Aviation!AA59+Other!AA57,-2)</f>
        <v>665100</v>
      </c>
      <c r="AB107" s="51">
        <f>ROUND(Electricity!AB59+Gasoline!AB59+Aviation!AB59+Other!AB57,-2)</f>
        <v>707100</v>
      </c>
      <c r="AC107" s="51">
        <f>ROUND(Electricity!AC59+Gasoline!AC59+Aviation!AC59+Other!AC57,-2)</f>
        <v>750700</v>
      </c>
      <c r="AD107" s="51">
        <f>ROUND(Electricity!AD59+Gasoline!AD59+Aviation!AD59+Other!AD57,-2)</f>
        <v>759700</v>
      </c>
      <c r="AE107" s="51">
        <f>ROUND(Electricity!AE59+Gasoline!AE59+Aviation!AE59+Other!AE57,-2)</f>
        <v>769800</v>
      </c>
      <c r="AF107" s="51">
        <f>ROUND(Electricity!AF59+Gasoline!AF59+Aviation!AF59+Other!AF57,-2)</f>
        <v>780800</v>
      </c>
      <c r="AG107" s="51"/>
    </row>
    <row r="109" ht="12">
      <c r="A109" s="9" t="s">
        <v>243</v>
      </c>
    </row>
    <row r="110" spans="1:10" ht="11.25">
      <c r="A110" s="45" t="s">
        <v>135</v>
      </c>
      <c r="I110" s="152">
        <f>63204/(63204+1987224+807597)</f>
        <v>0.02211457212585614</v>
      </c>
      <c r="J110" s="3" t="s">
        <v>247</v>
      </c>
    </row>
    <row r="111" spans="1:10" ht="11.25">
      <c r="A111" s="45" t="s">
        <v>226</v>
      </c>
      <c r="I111" s="153">
        <v>1</v>
      </c>
      <c r="J111" s="3" t="s">
        <v>244</v>
      </c>
    </row>
    <row r="112" spans="1:10" ht="11.25">
      <c r="A112" s="45" t="s">
        <v>285</v>
      </c>
      <c r="I112" s="153">
        <v>1</v>
      </c>
      <c r="J112" s="3" t="s">
        <v>287</v>
      </c>
    </row>
    <row r="113" spans="1:27" ht="11.25" customHeight="1">
      <c r="A113" s="45" t="s">
        <v>137</v>
      </c>
      <c r="I113" s="153">
        <f>(40.22/85.18-Emissions!H8*I110-Emissions!H14*Summary!I111-Emissions!H16*Summary!I112)/Emissions!H18</f>
        <v>0.5803874923617258</v>
      </c>
      <c r="J113" s="155" t="s">
        <v>288</v>
      </c>
      <c r="K113" s="137"/>
      <c r="L113" s="137"/>
      <c r="M113" s="137"/>
      <c r="N113" s="137"/>
      <c r="O113" s="137"/>
      <c r="P113" s="137"/>
      <c r="Q113" s="137"/>
      <c r="R113" s="137"/>
      <c r="S113" s="137"/>
      <c r="T113" s="137"/>
      <c r="U113" s="137"/>
      <c r="V113" s="137"/>
      <c r="W113" s="137"/>
      <c r="X113" s="137"/>
      <c r="Y113" s="137"/>
      <c r="Z113" s="3"/>
      <c r="AA113" s="3"/>
    </row>
    <row r="114" spans="1:27" ht="11.25">
      <c r="A114" s="45"/>
      <c r="J114" s="155"/>
      <c r="K114" s="137"/>
      <c r="L114" s="137"/>
      <c r="M114" s="137"/>
      <c r="N114" s="137"/>
      <c r="O114" s="137"/>
      <c r="P114" s="137"/>
      <c r="Q114" s="137"/>
      <c r="R114" s="137"/>
      <c r="S114" s="137"/>
      <c r="T114" s="137"/>
      <c r="U114" s="137"/>
      <c r="V114" s="137"/>
      <c r="W114" s="137"/>
      <c r="X114" s="137"/>
      <c r="Y114" s="137"/>
      <c r="Z114" s="3"/>
      <c r="AA114" s="3"/>
    </row>
    <row r="115" ht="11.25">
      <c r="A115" s="45"/>
    </row>
    <row r="116" ht="12">
      <c r="A116" s="9" t="s">
        <v>245</v>
      </c>
    </row>
    <row r="117" spans="1:32" ht="11.25">
      <c r="A117" s="45" t="s">
        <v>251</v>
      </c>
      <c r="J117" s="52">
        <f>$I$110*J86*1000000*Electricity!$G$17*10000/(Electricity!$P$30*1000000000000)</f>
        <v>6.246979405375177</v>
      </c>
      <c r="K117" s="52">
        <f>$I$110*K86*1000000*Electricity!$G$17*10000/(Electricity!$P$30*1000000000000)</f>
        <v>13.481618371090905</v>
      </c>
      <c r="L117" s="52">
        <f>$I$110*L86*1000000*Electricity!$G$17*10000/(Electricity!$P$30*1000000000000)</f>
        <v>21.68711482370851</v>
      </c>
      <c r="M117" s="52">
        <f>$I$110*M86*1000000*Electricity!$G$17*10000/(Electricity!$P$30*1000000000000)</f>
        <v>30.844665215177603</v>
      </c>
      <c r="N117" s="52">
        <f>$I$110*N86*1000000*Electricity!$G$17*10000/(Electricity!$P$30*1000000000000)</f>
        <v>40.93368309922647</v>
      </c>
      <c r="O117" s="52">
        <f>$I$110*O86*1000000*Electricity!$G$17*10000/(Electricity!$P$30*1000000000000)</f>
        <v>51.93201237454202</v>
      </c>
      <c r="P117" s="52">
        <f>$I$110*P86*1000000*Electricity!$G$17*10000/(Electricity!$P$30*1000000000000)</f>
        <v>63.81613419631604</v>
      </c>
      <c r="Q117" s="52">
        <f>$I$110*Q86*1000000*Electricity!$G$17*10000/(Electricity!$P$30*1000000000000)</f>
        <v>76.56136670405355</v>
      </c>
      <c r="R117" s="52">
        <f>$I$110*R86*1000000*Electricity!$G$17*10000/(Electricity!$P$30*1000000000000)</f>
        <v>90.14205685158302</v>
      </c>
      <c r="S117" s="52">
        <f>$I$110*S86*1000000*Electricity!$G$17*10000/(Electricity!$P$30*1000000000000)</f>
        <v>104.5317637546584</v>
      </c>
      <c r="T117" s="52">
        <f>$I$110*T86*1000000*Electricity!$G$17*10000/(Electricity!$P$30*1000000000000)</f>
        <v>118.82585597716847</v>
      </c>
      <c r="U117" s="52">
        <f>$I$110*U86*1000000*Electricity!$G$17*10000/(Electricity!$P$30*1000000000000)</f>
        <v>133.04164202140586</v>
      </c>
      <c r="V117" s="52">
        <f>$I$110*V86*1000000*Electricity!$G$17*10000/(Electricity!$P$30*1000000000000)</f>
        <v>147.19522504489808</v>
      </c>
      <c r="W117" s="52">
        <f>$I$110*W86*1000000*Electricity!$G$17*10000/(Electricity!$P$30*1000000000000)</f>
        <v>160.73222728774888</v>
      </c>
      <c r="X117" s="52">
        <f>$I$110*X86*1000000*Electricity!$G$17*10000/(Electricity!$P$30*1000000000000)</f>
        <v>173.68735461579425</v>
      </c>
      <c r="Y117" s="52">
        <f>$I$110*Y86*1000000*Electricity!$G$17*10000/(Electricity!$P$30*1000000000000)</f>
        <v>186.09122173835948</v>
      </c>
      <c r="Z117" s="52">
        <f>$I$110*Z86*1000000*Electricity!$G$17*10000/(Electricity!$P$30*1000000000000)</f>
        <v>197.97075164306088</v>
      </c>
      <c r="AA117" s="52">
        <f>$I$110*AA86*1000000*Electricity!$G$17*10000/(Electricity!$P$30*1000000000000)</f>
        <v>209.34952268958725</v>
      </c>
      <c r="AB117" s="52">
        <f>$I$110*AB86*1000000*Electricity!$G$17*10000/(Electricity!$P$30*1000000000000)</f>
        <v>220.2480706362982</v>
      </c>
      <c r="AC117" s="52">
        <f>$I$110*AC86*1000000*Electricity!$G$17*10000/(Electricity!$P$30*1000000000000)</f>
        <v>230.68415173434505</v>
      </c>
      <c r="AD117" s="52">
        <f>$I$110*AD86*1000000*Electricity!$G$17*10000/(Electricity!$P$30*1000000000000)</f>
        <v>235.36291245931346</v>
      </c>
      <c r="AE117" s="52">
        <f>$I$110*AE86*1000000*Electricity!$G$17*10000/(Electricity!$P$30*1000000000000)</f>
        <v>239.50148857754945</v>
      </c>
      <c r="AF117" s="52">
        <f>$I$110*AF86*1000000*Electricity!$G$17*10000/(Electricity!$P$30*1000000000000)</f>
        <v>243.09401090621265</v>
      </c>
    </row>
    <row r="118" spans="1:32" ht="11.25">
      <c r="A118" s="45" t="s">
        <v>226</v>
      </c>
      <c r="J118" s="48">
        <f>$I$111*J87*1000000*Electricity!$G$17/(Gasoline!$G$25*1000000000000)*Gasoline!$G$23</f>
        <v>79.36359113605364</v>
      </c>
      <c r="K118" s="48">
        <f>$I$111*K87*1000000*Electricity!$G$17/(Gasoline!$G$25*1000000000000)*Gasoline!$G$23</f>
        <v>188.92365442492695</v>
      </c>
      <c r="L118" s="48">
        <f>$I$111*L87*1000000*Electricity!$G$17/(Gasoline!$G$25*1000000000000)*Gasoline!$G$23</f>
        <v>327.90540165837086</v>
      </c>
      <c r="M118" s="48">
        <f>$I$111*M87*1000000*Electricity!$G$17/(Gasoline!$G$25*1000000000000)*Gasoline!$G$23</f>
        <v>495.47920771494074</v>
      </c>
      <c r="N118" s="48">
        <f>$I$111*N87*1000000*Electricity!$G$17/(Gasoline!$G$25*1000000000000)*Gasoline!$G$23</f>
        <v>690.7666386765161</v>
      </c>
      <c r="O118" s="48">
        <f>$I$111*O87*1000000*Electricity!$G$17/(Gasoline!$G$25*1000000000000)*Gasoline!$G$23</f>
        <v>912.8464456736643</v>
      </c>
      <c r="P118" s="48">
        <f>$I$111*P87*1000000*Electricity!$G$17/(Gasoline!$G$25*1000000000000)*Gasoline!$G$23</f>
        <v>1160.760471956924</v>
      </c>
      <c r="Q118" s="48">
        <f>$I$111*Q87*1000000*Electricity!$G$17/(Gasoline!$G$25*1000000000000)*Gasoline!$G$23</f>
        <v>1433.5194299056666</v>
      </c>
      <c r="R118" s="48">
        <f>$I$111*R87*1000000*Electricity!$G$17/(Gasoline!$G$25*1000000000000)*Gasoline!$G$23</f>
        <v>1730.1085123522316</v>
      </c>
      <c r="S118" s="48">
        <f>$I$111*S87*1000000*Electricity!$G$17/(Gasoline!$G$25*1000000000000)*Gasoline!$G$23</f>
        <v>2049.4928090724275</v>
      </c>
      <c r="T118" s="48">
        <f>$I$111*T87*1000000*Electricity!$G$17/(Gasoline!$G$25*1000000000000)*Gasoline!$G$23</f>
        <v>2361.2198985521986</v>
      </c>
      <c r="U118" s="48">
        <f>$I$111*U87*1000000*Electricity!$G$17/(Gasoline!$G$25*1000000000000)*Gasoline!$G$23</f>
        <v>2666.0753848761947</v>
      </c>
      <c r="V118" s="48">
        <f>$I$111*V87*1000000*Electricity!$G$17/(Gasoline!$G$25*1000000000000)*Gasoline!$G$23</f>
        <v>2964.758649971625</v>
      </c>
      <c r="W118" s="48">
        <f>$I$111*W87*1000000*Electricity!$G$17/(Gasoline!$G$25*1000000000000)*Gasoline!$G$23</f>
        <v>3239.2817355463044</v>
      </c>
      <c r="X118" s="48">
        <f>$I$111*X87*1000000*Electricity!$G$17/(Gasoline!$G$25*1000000000000)*Gasoline!$G$23</f>
        <v>3490.9046006254007</v>
      </c>
      <c r="Y118" s="48">
        <f>$I$111*Y87*1000000*Electricity!$G$17/(Gasoline!$G$25*1000000000000)*Gasoline!$G$23</f>
        <v>3720.7037363045556</v>
      </c>
      <c r="Z118" s="48">
        <f>$I$111*Z87*1000000*Electricity!$G$17/(Gasoline!$G$25*1000000000000)*Gasoline!$G$23</f>
        <v>3929.59298773108</v>
      </c>
      <c r="AA118" s="48">
        <f>$I$111*AA87*1000000*Electricity!$G$17/(Gasoline!$G$25*1000000000000)*Gasoline!$G$23</f>
        <v>4118.341044395676</v>
      </c>
      <c r="AB118" s="48">
        <f>$I$111*AB87*1000000*Electricity!$G$17/(Gasoline!$G$25*1000000000000)*Gasoline!$G$23</f>
        <v>4287.586163733761</v>
      </c>
      <c r="AC118" s="48">
        <f>$I$111*AC87*1000000*Electricity!$G$17/(Gasoline!$G$25*1000000000000)*Gasoline!$G$23</f>
        <v>4437.8485824457575</v>
      </c>
      <c r="AD118" s="48">
        <f>$I$111*AD87*1000000*Electricity!$G$17/(Gasoline!$G$25*1000000000000)*Gasoline!$G$23</f>
        <v>4521.614138426154</v>
      </c>
      <c r="AE118" s="48">
        <f>$I$111*AE87*1000000*Electricity!$G$17/(Gasoline!$G$25*1000000000000)*Gasoline!$G$23</f>
        <v>4586.401563663835</v>
      </c>
      <c r="AF118" s="48">
        <f>$I$111*AF87*1000000*Electricity!$G$17/(Gasoline!$G$25*1000000000000)*Gasoline!$G$23</f>
        <v>4632.2655793004815</v>
      </c>
    </row>
    <row r="119" spans="1:32" ht="11.25">
      <c r="A119" s="45" t="s">
        <v>285</v>
      </c>
      <c r="J119" s="48">
        <f>$I$112*J88*1000000*Electricity!$G$17/(Aviation!$G$25*1000000000000)*Aviation!$G$23</f>
        <v>13.908957249499254</v>
      </c>
      <c r="K119" s="48">
        <f>$I$112*K88*1000000*Electricity!$G$17/(Aviation!$G$25*1000000000000)*Aviation!$G$23</f>
        <v>40.164424355280964</v>
      </c>
      <c r="L119" s="48">
        <f>$I$112*L88*1000000*Electricity!$G$17/(Aviation!$G$25*1000000000000)*Aviation!$G$23</f>
        <v>79.01625907648936</v>
      </c>
      <c r="M119" s="48">
        <f>$I$112*M88*1000000*Electricity!$G$17/(Aviation!$G$25*1000000000000)*Aviation!$G$23</f>
        <v>130.6566428107435</v>
      </c>
      <c r="N119" s="48">
        <f>$I$112*N88*1000000*Electricity!$G$17/(Aviation!$G$25*1000000000000)*Aviation!$G$23</f>
        <v>195.22241430032415</v>
      </c>
      <c r="O119" s="48">
        <f>$I$112*O88*1000000*Electricity!$G$17/(Aviation!$G$25*1000000000000)*Aviation!$G$23</f>
        <v>272.7978257543579</v>
      </c>
      <c r="P119" s="48">
        <f>$I$112*P88*1000000*Electricity!$G$17/(Aviation!$G$25*1000000000000)*Aviation!$G$23</f>
        <v>363.417650562051</v>
      </c>
      <c r="Q119" s="48">
        <f>$I$112*Q88*1000000*Electricity!$G$17/(Aviation!$G$25*1000000000000)*Aviation!$G$23</f>
        <v>467.07057718100964</v>
      </c>
      <c r="R119" s="48">
        <f>$I$112*R88*1000000*Electricity!$G$17/(Aviation!$G$25*1000000000000)*Aviation!$G$23</f>
        <v>583.7028285754749</v>
      </c>
      <c r="S119" s="48">
        <f>$I$112*S88*1000000*Electricity!$G$17/(Aviation!$G$25*1000000000000)*Aviation!$G$23</f>
        <v>713.2219510282725</v>
      </c>
      <c r="T119" s="48">
        <f>$I$112*T88*1000000*Electricity!$G$17/(Aviation!$G$25*1000000000000)*Aviation!$G$23</f>
        <v>842.2034725827172</v>
      </c>
      <c r="U119" s="48">
        <f>$I$112*U88*1000000*Electricity!$G$17/(Aviation!$G$25*1000000000000)*Aviation!$G$23</f>
        <v>971.1180757068232</v>
      </c>
      <c r="V119" s="48">
        <f>$I$112*V88*1000000*Electricity!$G$17/(Aviation!$G$25*1000000000000)*Aviation!$G$23</f>
        <v>1100.3839683809426</v>
      </c>
      <c r="W119" s="48">
        <f>$I$112*W88*1000000*Electricity!$G$17/(Aviation!$G$25*1000000000000)*Aviation!$G$23</f>
        <v>1222.4464725163855</v>
      </c>
      <c r="X119" s="48">
        <f>$I$112*X88*1000000*Electricity!$G$17/(Aviation!$G$25*1000000000000)*Aviation!$G$23</f>
        <v>1337.6744157352327</v>
      </c>
      <c r="Y119" s="48">
        <f>$I$112*Y88*1000000*Electricity!$G$17/(Aviation!$G$25*1000000000000)*Aviation!$G$23</f>
        <v>1446.3194717632584</v>
      </c>
      <c r="Z119" s="48">
        <f>$I$112*Z88*1000000*Electricity!$G$17/(Aviation!$G$25*1000000000000)*Aviation!$G$23</f>
        <v>1548.5277936419463</v>
      </c>
      <c r="AA119" s="48">
        <f>$I$112*AA88*1000000*Electricity!$G$17/(Aviation!$G$25*1000000000000)*Aviation!$G$23</f>
        <v>1644.3486504504572</v>
      </c>
      <c r="AB119" s="48">
        <f>$I$112*AB88*1000000*Electricity!$G$17/(Aviation!$G$25*1000000000000)*Aviation!$G$23</f>
        <v>1733.7406247491356</v>
      </c>
      <c r="AC119" s="48">
        <f>$I$112*AC88*1000000*Electricity!$G$17/(Aviation!$G$25*1000000000000)*Aviation!$G$23</f>
        <v>1816.575785965999</v>
      </c>
      <c r="AD119" s="48">
        <f>$I$112*AD88*1000000*Electricity!$G$17/(Aviation!$G$25*1000000000000)*Aviation!$G$23</f>
        <v>1890.0791600748146</v>
      </c>
      <c r="AE119" s="48">
        <f>$I$112*AE88*1000000*Electricity!$G$17/(Aviation!$G$25*1000000000000)*Aviation!$G$23</f>
        <v>1956.3766872159122</v>
      </c>
      <c r="AF119" s="48">
        <f>$I$112*AF88*1000000*Electricity!$G$17/(Aviation!$G$25*1000000000000)*Aviation!$G$23</f>
        <v>2015.06798783239</v>
      </c>
    </row>
    <row r="120" spans="1:32" ht="11.25">
      <c r="A120" s="45" t="s">
        <v>289</v>
      </c>
      <c r="J120" s="48">
        <f>$I$113*J89*1000000*Electricity!$G$17/(Gasoline!$G$25*1000000000000)*Gasoline!$G$23</f>
        <v>61.50939578300367</v>
      </c>
      <c r="K120" s="48">
        <f>$I$113*K89*1000000*Electricity!$G$17/(Gasoline!$G$25*1000000000000)*Gasoline!$G$23</f>
        <v>139.3421307576837</v>
      </c>
      <c r="L120" s="48">
        <f>$I$113*L89*1000000*Electricity!$G$17/(Gasoline!$G$25*1000000000000)*Gasoline!$G$23</f>
        <v>233.66961496311552</v>
      </c>
      <c r="M120" s="48">
        <f>$I$113*M89*1000000*Electricity!$G$17/(Gasoline!$G$25*1000000000000)*Gasoline!$G$23</f>
        <v>344.6363608147881</v>
      </c>
      <c r="N120" s="48">
        <f>$I$113*N89*1000000*Electricity!$G$17/(Gasoline!$G$25*1000000000000)*Gasoline!$G$23</f>
        <v>472.36058954771806</v>
      </c>
      <c r="O120" s="48">
        <f>$I$113*O89*1000000*Electricity!$G$17/(Gasoline!$G$25*1000000000000)*Gasoline!$G$23</f>
        <v>616.9349015552533</v>
      </c>
      <c r="P120" s="48">
        <f>$I$113*P89*1000000*Electricity!$G$17/(Gasoline!$G$25*1000000000000)*Gasoline!$G$23</f>
        <v>778.4270052711177</v>
      </c>
      <c r="Q120" s="48">
        <f>$I$113*Q89*1000000*Electricity!$G$17/(Gasoline!$G$25*1000000000000)*Gasoline!$G$23</f>
        <v>956.880499283512</v>
      </c>
      <c r="R120" s="48">
        <f>$I$113*R89*1000000*Electricity!$G$17/(Gasoline!$G$25*1000000000000)*Gasoline!$G$23</f>
        <v>1152.3157024322081</v>
      </c>
      <c r="S120" s="48">
        <f>$I$113*S89*1000000*Electricity!$G$17/(Gasoline!$G$25*1000000000000)*Gasoline!$G$23</f>
        <v>1364.7305267236902</v>
      </c>
      <c r="T120" s="48">
        <f>$I$113*T89*1000000*Electricity!$G$17/(Gasoline!$G$25*1000000000000)*Gasoline!$G$23</f>
        <v>1578.1514634670525</v>
      </c>
      <c r="U120" s="48">
        <f>$I$113*U89*1000000*Electricity!$G$17/(Gasoline!$G$25*1000000000000)*Gasoline!$G$23</f>
        <v>1792.7095855658422</v>
      </c>
      <c r="V120" s="48">
        <f>$I$113*V89*1000000*Electricity!$G$17/(Gasoline!$G$25*1000000000000)*Gasoline!$G$23</f>
        <v>2008.5314857660733</v>
      </c>
      <c r="W120" s="48">
        <f>$I$113*W89*1000000*Electricity!$G$17/(Gasoline!$G$25*1000000000000)*Gasoline!$G$23</f>
        <v>2213.34799841843</v>
      </c>
      <c r="X120" s="48">
        <f>$I$113*X89*1000000*Electricity!$G$17/(Gasoline!$G$25*1000000000000)*Gasoline!$G$23</f>
        <v>2407.2941502413737</v>
      </c>
      <c r="Y120" s="48">
        <f>$I$113*Y89*1000000*Electricity!$G$17/(Gasoline!$G$25*1000000000000)*Gasoline!$G$23</f>
        <v>2590.4634293549625</v>
      </c>
      <c r="Z120" s="48">
        <f>$I$113*Z89*1000000*Electricity!$G$17/(Gasoline!$G$25*1000000000000)*Gasoline!$G$23</f>
        <v>2762.909482512916</v>
      </c>
      <c r="AA120" s="48">
        <f>$I$113*AA89*1000000*Electricity!$G$17/(Gasoline!$G$25*1000000000000)*Gasoline!$G$23</f>
        <v>2924.6475493732532</v>
      </c>
      <c r="AB120" s="48">
        <f>$I$113*AB89*1000000*Electricity!$G$17/(Gasoline!$G$25*1000000000000)*Gasoline!$G$23</f>
        <v>3075.655657125299</v>
      </c>
      <c r="AC120" s="48">
        <f>$I$113*AC89*1000000*Electricity!$G$17/(Gasoline!$G$25*1000000000000)*Gasoline!$G$23</f>
        <v>3215.875595632511</v>
      </c>
      <c r="AD120" s="48">
        <f>$I$113*AD89*1000000*Electricity!$G$17/(Gasoline!$G$25*1000000000000)*Gasoline!$G$23</f>
        <v>3291.304868537187</v>
      </c>
      <c r="AE120" s="48">
        <f>$I$113*AE89*1000000*Electricity!$G$17/(Gasoline!$G$25*1000000000000)*Gasoline!$G$23</f>
        <v>3354.3280691250993</v>
      </c>
      <c r="AF120" s="48">
        <f>$I$113*AF89*1000000*Electricity!$G$17/(Gasoline!$G$25*1000000000000)*Gasoline!$G$23</f>
        <v>3404.6429901619777</v>
      </c>
    </row>
    <row r="121" ht="11.25">
      <c r="A121" s="45"/>
    </row>
    <row r="122" spans="1:32" ht="12">
      <c r="A122" s="9" t="s">
        <v>246</v>
      </c>
      <c r="J122" s="28">
        <f>SUM(J123:J126)</f>
        <v>82.35392338391723</v>
      </c>
      <c r="K122" s="28">
        <f>SUM(K123:K126)</f>
        <v>195.21287182526478</v>
      </c>
      <c r="L122" s="28">
        <f>SUM(L123:L126)</f>
        <v>338.3737568168004</v>
      </c>
      <c r="M122" s="28">
        <f>SUM(M123:M126)</f>
        <v>511.56237043158836</v>
      </c>
      <c r="N122" s="28">
        <f>SUM(N123:N126)</f>
        <v>714.4380640391586</v>
      </c>
      <c r="O122" s="28">
        <f>SUM(O123:O126)</f>
        <v>946.5986435929995</v>
      </c>
      <c r="P122" s="28">
        <f>SUM(P123:P126)</f>
        <v>1207.5854167029477</v>
      </c>
      <c r="Q122" s="28">
        <f>SUM(Q123:Q126)</f>
        <v>1496.8883342114314</v>
      </c>
      <c r="R122" s="28">
        <f>SUM(R123:R126)</f>
        <v>1813.9511753985778</v>
      </c>
      <c r="S122" s="28">
        <f>SUM(S123:S126)</f>
        <v>2158.176731567498</v>
      </c>
      <c r="T122" s="28">
        <f>SUM(T123:T126)</f>
        <v>2498.6213866237567</v>
      </c>
      <c r="U122" s="28">
        <f>SUM(U123:U126)</f>
        <v>2835.9970423624636</v>
      </c>
      <c r="V122" s="28">
        <f>SUM(V123:V126)</f>
        <v>3170.9424493693687</v>
      </c>
      <c r="W122" s="28">
        <f>SUM(W123:W126)</f>
        <v>3483.901774539021</v>
      </c>
      <c r="X122" s="28">
        <f>SUM(X123:X126)</f>
        <v>3775.794830339809</v>
      </c>
      <c r="Y122" s="28">
        <f>SUM(Y123:Y126)</f>
        <v>4047.3660653022907</v>
      </c>
      <c r="Z122" s="28">
        <f>SUM(Z123:Z126)</f>
        <v>4299.202090270126</v>
      </c>
      <c r="AA122" s="28">
        <f>SUM(AA123:AA126)</f>
        <v>4531.745861367082</v>
      </c>
      <c r="AB122" s="28">
        <f>SUM(AB123:AB126)</f>
        <v>4745.30809875285</v>
      </c>
      <c r="AC122" s="28">
        <f>SUM(AC123:AC126)</f>
        <v>4940.076391832244</v>
      </c>
      <c r="AD122" s="28">
        <f>SUM(AD123:AD126)</f>
        <v>5059.950819568823</v>
      </c>
      <c r="AE122" s="28">
        <f>SUM(AE123:AE126)</f>
        <v>5159.857765032051</v>
      </c>
      <c r="AF122" s="28">
        <f>SUM(AF123:AF126)</f>
        <v>5239.4750638028945</v>
      </c>
    </row>
    <row r="123" spans="1:32" ht="11.25">
      <c r="A123" s="45" t="s">
        <v>135</v>
      </c>
      <c r="J123" s="48">
        <f>J117*1000000000000/(Emissions!$G$25*1000000*365*1000)</f>
        <v>2.7653921585912156</v>
      </c>
      <c r="K123" s="48">
        <f>K117*1000000000000/(Emissions!$G$25*1000000*365*1000)</f>
        <v>5.967998181081727</v>
      </c>
      <c r="L123" s="48">
        <f>L117*1000000000000/(Emissions!$G$25*1000000*365*1000)</f>
        <v>9.600380181235602</v>
      </c>
      <c r="M123" s="48">
        <f>M117*1000000000000/(Emissions!$G$25*1000000*365*1000)</f>
        <v>13.65421426666295</v>
      </c>
      <c r="N123" s="48">
        <f>N117*1000000000000/(Emissions!$G$25*1000000*365*1000)</f>
        <v>18.120387297492666</v>
      </c>
      <c r="O123" s="48">
        <f>O117*1000000000000/(Emissions!$G$25*1000000*365*1000)</f>
        <v>22.989091284157272</v>
      </c>
      <c r="P123" s="48">
        <f>P117*1000000000000/(Emissions!$G$25*1000000*365*1000)</f>
        <v>28.2499149823111</v>
      </c>
      <c r="Q123" s="48">
        <f>Q117*1000000000000/(Emissions!$G$25*1000000*365*1000)</f>
        <v>33.89193230767515</v>
      </c>
      <c r="R123" s="48">
        <f>R117*1000000000000/(Emissions!$G$25*1000000*365*1000)</f>
        <v>39.90378725471086</v>
      </c>
      <c r="S123" s="48">
        <f>S117*1000000000000/(Emissions!$G$25*1000000*365*1000)</f>
        <v>46.273775060329484</v>
      </c>
      <c r="T123" s="48">
        <f>T117*1000000000000/(Emissions!$G$25*1000000*365*1000)</f>
        <v>52.601436475748386</v>
      </c>
      <c r="U123" s="48">
        <f>U117*1000000000000/(Emissions!$G$25*1000000*365*1000)</f>
        <v>58.89443357145172</v>
      </c>
      <c r="V123" s="48">
        <f>V117*1000000000000/(Emissions!$G$25*1000000*365*1000)</f>
        <v>65.15989483989406</v>
      </c>
      <c r="W123" s="48">
        <f>W117*1000000000000/(Emissions!$G$25*1000000*365*1000)</f>
        <v>71.15241016994308</v>
      </c>
      <c r="X123" s="48">
        <f>X117*1000000000000/(Emissions!$G$25*1000000*365*1000)</f>
        <v>76.88734303937133</v>
      </c>
      <c r="Y123" s="48">
        <f>Y117*1000000000000/(Emissions!$G$25*1000000*365*1000)</f>
        <v>82.37824586633354</v>
      </c>
      <c r="Z123" s="48">
        <f>Z117*1000000000000/(Emissions!$G$25*1000000*365*1000)</f>
        <v>87.6370368298421</v>
      </c>
      <c r="AA123" s="48">
        <f>AA117*1000000000000/(Emissions!$G$25*1000000*365*1000)</f>
        <v>92.67415352009299</v>
      </c>
      <c r="AB123" s="48">
        <f>AB117*1000000000000/(Emissions!$G$25*1000000*365*1000)</f>
        <v>97.49868663860016</v>
      </c>
      <c r="AC123" s="48">
        <f>AC117*1000000000000/(Emissions!$G$25*1000000*365*1000)</f>
        <v>102.11849646383003</v>
      </c>
      <c r="AD123" s="48">
        <f>AD117*1000000000000/(Emissions!$G$25*1000000*365*1000)</f>
        <v>104.18967476955955</v>
      </c>
      <c r="AE123" s="48">
        <f>AE117*1000000000000/(Emissions!$G$25*1000000*365*1000)</f>
        <v>106.02172594220389</v>
      </c>
      <c r="AF123" s="48">
        <f>AF117*1000000000000/(Emissions!$G$25*1000000*365*1000)</f>
        <v>107.61205183133693</v>
      </c>
    </row>
    <row r="124" spans="1:32" ht="11.25">
      <c r="A124" s="45" t="s">
        <v>226</v>
      </c>
      <c r="J124" s="52">
        <f>J118*1000000000000/(Gasoline!$G$21*1000000*365*1000)</f>
        <v>41.39244170248632</v>
      </c>
      <c r="K124" s="52">
        <f>K118*1000000000000/(Gasoline!$G$21*1000000*365*1000)</f>
        <v>98.53399071368321</v>
      </c>
      <c r="L124" s="52">
        <f>L118*1000000000000/(Gasoline!$G$21*1000000*365*1000)</f>
        <v>171.02055272179544</v>
      </c>
      <c r="M124" s="52">
        <f>M118*1000000000000/(Gasoline!$G$21*1000000*365*1000)</f>
        <v>258.41943297369056</v>
      </c>
      <c r="N124" s="52">
        <f>N118*1000000000000/(Gasoline!$G$21*1000000*365*1000)</f>
        <v>360.2724802664706</v>
      </c>
      <c r="O124" s="52">
        <f>O118*1000000000000/(Gasoline!$G$21*1000000*365*1000)</f>
        <v>476.09921306476633</v>
      </c>
      <c r="P124" s="52">
        <f>P118*1000000000000/(Gasoline!$G$21*1000000*365*1000)</f>
        <v>605.3999003606153</v>
      </c>
      <c r="Q124" s="52">
        <f>Q118*1000000000000/(Gasoline!$G$21*1000000*365*1000)</f>
        <v>747.6585746986935</v>
      </c>
      <c r="R124" s="52">
        <f>R118*1000000000000/(Gasoline!$G$21*1000000*365*1000)</f>
        <v>902.3459587879238</v>
      </c>
      <c r="S124" s="52">
        <f>S118*1000000000000/(Gasoline!$G$21*1000000*365*1000)</f>
        <v>1068.9222904967169</v>
      </c>
      <c r="T124" s="52">
        <f>T118*1000000000000/(Gasoline!$G$21*1000000*365*1000)</f>
        <v>1231.5049709635973</v>
      </c>
      <c r="U124" s="52">
        <f>U118*1000000000000/(Gasoline!$G$21*1000000*365*1000)</f>
        <v>1390.5037355698607</v>
      </c>
      <c r="V124" s="52">
        <f>V118*1000000000000/(Gasoline!$G$21*1000000*365*1000)</f>
        <v>1546.2833501386683</v>
      </c>
      <c r="W124" s="52">
        <f>W118*1000000000000/(Gasoline!$G$21*1000000*365*1000)</f>
        <v>1689.4621132588577</v>
      </c>
      <c r="X124" s="52">
        <f>X118*1000000000000/(Gasoline!$G$21*1000000*365*1000)</f>
        <v>1820.6971622871213</v>
      </c>
      <c r="Y124" s="52">
        <f>Y118*1000000000000/(Gasoline!$G$21*1000000*365*1000)</f>
        <v>1940.5499460475583</v>
      </c>
      <c r="Z124" s="52">
        <f>Z118*1000000000000/(Gasoline!$G$21*1000000*365*1000)</f>
        <v>2049.4970846306114</v>
      </c>
      <c r="AA124" s="52">
        <f>AA118*1000000000000/(Gasoline!$G$21*1000000*365*1000)</f>
        <v>2147.9394915342186</v>
      </c>
      <c r="AB124" s="52">
        <f>AB118*1000000000000/(Gasoline!$G$21*1000000*365*1000)</f>
        <v>2236.2100528250057</v>
      </c>
      <c r="AC124" s="52">
        <f>AC118*1000000000000/(Gasoline!$G$21*1000000*365*1000)</f>
        <v>2314.580100318804</v>
      </c>
      <c r="AD124" s="52">
        <f>AD118*1000000000000/(Gasoline!$G$21*1000000*365*1000)</f>
        <v>2358.268406794893</v>
      </c>
      <c r="AE124" s="52">
        <f>AE118*1000000000000/(Gasoline!$G$21*1000000*365*1000)</f>
        <v>2392.058582917438</v>
      </c>
      <c r="AF124" s="52">
        <f>AF118*1000000000000/(Gasoline!$G$21*1000000*365*1000)</f>
        <v>2415.9791687466163</v>
      </c>
    </row>
    <row r="125" spans="1:32" ht="11.25">
      <c r="A125" s="45" t="s">
        <v>285</v>
      </c>
      <c r="J125" s="52">
        <f>J119*1000000000000/(Aviation!$G$21*1000000*365*1000)</f>
        <v>6.720764054745841</v>
      </c>
      <c r="K125" s="52">
        <f>K119*1000000000000/(Aviation!$G$21*1000000*365*1000)</f>
        <v>19.40732253643592</v>
      </c>
      <c r="L125" s="52">
        <f>L119*1000000000000/(Aviation!$G$21*1000000*365*1000)</f>
        <v>38.180405922296806</v>
      </c>
      <c r="M125" s="52">
        <f>M119*1000000000000/(Aviation!$G$21*1000000*365*1000)</f>
        <v>63.132875654486966</v>
      </c>
      <c r="N125" s="52">
        <f>N119*1000000000000/(Aviation!$G$21*1000000*365*1000)</f>
        <v>94.33085177952896</v>
      </c>
      <c r="O125" s="52">
        <f>O119*1000000000000/(Aviation!$G$21*1000000*365*1000)</f>
        <v>131.8150446978125</v>
      </c>
      <c r="P125" s="52">
        <f>P119*1000000000000/(Aviation!$G$21*1000000*365*1000)</f>
        <v>175.60225680077843</v>
      </c>
      <c r="Q125" s="52">
        <f>Q119*1000000000000/(Aviation!$G$21*1000000*365*1000)</f>
        <v>225.687022386997</v>
      </c>
      <c r="R125" s="52">
        <f>R119*1000000000000/(Aviation!$G$21*1000000*365*1000)</f>
        <v>282.0433565632504</v>
      </c>
      <c r="S125" s="52">
        <f>S119*1000000000000/(Aviation!$G$21*1000000*365*1000)</f>
        <v>344.6265859864572</v>
      </c>
      <c r="T125" s="52">
        <f>T119*1000000000000/(Aviation!$G$21*1000000*365*1000)</f>
        <v>406.9500483596517</v>
      </c>
      <c r="U125" s="52">
        <f>U119*1000000000000/(Aviation!$G$21*1000000*365*1000)</f>
        <v>469.2411759594227</v>
      </c>
      <c r="V125" s="52">
        <f>V119*1000000000000/(Aviation!$G$21*1000000*365*1000)</f>
        <v>531.7020455562526</v>
      </c>
      <c r="W125" s="52">
        <f>W119*1000000000000/(Aviation!$G$21*1000000*365*1000)</f>
        <v>590.6822606442877</v>
      </c>
      <c r="X125" s="52">
        <f>X119*1000000000000/(Aviation!$G$21*1000000*365*1000)</f>
        <v>646.360037561418</v>
      </c>
      <c r="Y125" s="52">
        <f>Y119*1000000000000/(Aviation!$G$21*1000000*365*1000)</f>
        <v>698.8569842541898</v>
      </c>
      <c r="Z125" s="52">
        <f>Z119*1000000000000/(Aviation!$G$21*1000000*365*1000)</f>
        <v>748.243721408976</v>
      </c>
      <c r="AA125" s="52">
        <f>AA119*1000000000000/(Aviation!$G$21*1000000*365*1000)</f>
        <v>794.5440556886556</v>
      </c>
      <c r="AB125" s="52">
        <f>AB119*1000000000000/(Aviation!$G$21*1000000*365*1000)</f>
        <v>837.7379743176707</v>
      </c>
      <c r="AC125" s="52">
        <f>AC119*1000000000000/(Aviation!$G$21*1000000*365*1000)</f>
        <v>877.7636616491503</v>
      </c>
      <c r="AD125" s="52">
        <f>AD119*1000000000000/(Aviation!$G$21*1000000*365*1000)</f>
        <v>913.2802590296511</v>
      </c>
      <c r="AE125" s="52">
        <f>AE119*1000000000000/(Aviation!$G$21*1000000*365*1000)</f>
        <v>945.315013996237</v>
      </c>
      <c r="AF125" s="52">
        <f>AF119*1000000000000/(Aviation!$G$21*1000000*365*1000)</f>
        <v>973.6744644161242</v>
      </c>
    </row>
    <row r="126" spans="1:32" ht="11.25">
      <c r="A126" s="45" t="s">
        <v>137</v>
      </c>
      <c r="J126" s="48">
        <f>J120*1000000000000/(Emissions!$G$28*1000000*365*1000)</f>
        <v>31.475325468093846</v>
      </c>
      <c r="K126" s="48">
        <f>K120*1000000000000/(Emissions!$G$28*1000000*365*1000)</f>
        <v>71.30356039406394</v>
      </c>
      <c r="L126" s="48">
        <f>L120*1000000000000/(Emissions!$G$28*1000000*365*1000)</f>
        <v>119.57241799147253</v>
      </c>
      <c r="M126" s="48">
        <f>M120*1000000000000/(Emissions!$G$28*1000000*365*1000)</f>
        <v>176.3558475367479</v>
      </c>
      <c r="N126" s="48">
        <f>N120*1000000000000/(Emissions!$G$28*1000000*365*1000)</f>
        <v>241.7143446956663</v>
      </c>
      <c r="O126" s="48">
        <f>O120*1000000000000/(Emissions!$G$28*1000000*365*1000)</f>
        <v>315.6952945462633</v>
      </c>
      <c r="P126" s="48">
        <f>P120*1000000000000/(Emissions!$G$28*1000000*365*1000)</f>
        <v>398.3333445592427</v>
      </c>
      <c r="Q126" s="48">
        <f>Q120*1000000000000/(Emissions!$G$28*1000000*365*1000)</f>
        <v>489.65080481806564</v>
      </c>
      <c r="R126" s="48">
        <f>R120*1000000000000/(Emissions!$G$28*1000000*365*1000)</f>
        <v>589.6580727926928</v>
      </c>
      <c r="S126" s="48">
        <f>S120*1000000000000/(Emissions!$G$28*1000000*365*1000)</f>
        <v>698.3540800239945</v>
      </c>
      <c r="T126" s="48">
        <f>T120*1000000000000/(Emissions!$G$28*1000000*365*1000)</f>
        <v>807.5649308247591</v>
      </c>
      <c r="U126" s="48">
        <f>U120*1000000000000/(Emissions!$G$28*1000000*365*1000)</f>
        <v>917.3576972617284</v>
      </c>
      <c r="V126" s="48">
        <f>V120*1000000000000/(Emissions!$G$28*1000000*365*1000)</f>
        <v>1027.7971588345538</v>
      </c>
      <c r="W126" s="48">
        <f>W120*1000000000000/(Emissions!$G$28*1000000*365*1000)</f>
        <v>1132.6049904659326</v>
      </c>
      <c r="X126" s="48">
        <f>X120*1000000000000/(Emissions!$G$28*1000000*365*1000)</f>
        <v>1231.8502874518979</v>
      </c>
      <c r="Y126" s="48">
        <f>Y120*1000000000000/(Emissions!$G$28*1000000*365*1000)</f>
        <v>1325.580889134209</v>
      </c>
      <c r="Z126" s="48">
        <f>Z120*1000000000000/(Emissions!$G$28*1000000*365*1000)</f>
        <v>1413.824247400697</v>
      </c>
      <c r="AA126" s="48">
        <f>AA120*1000000000000/(Emissions!$G$28*1000000*365*1000)</f>
        <v>1496.5881606241155</v>
      </c>
      <c r="AB126" s="48">
        <f>AB120*1000000000000/(Emissions!$G$28*1000000*365*1000)</f>
        <v>1573.8613849715737</v>
      </c>
      <c r="AC126" s="48">
        <f>AC120*1000000000000/(Emissions!$G$28*1000000*365*1000)</f>
        <v>1645.614133400459</v>
      </c>
      <c r="AD126" s="48">
        <f>AD120*1000000000000/(Emissions!$G$28*1000000*365*1000)</f>
        <v>1684.2124789747197</v>
      </c>
      <c r="AE126" s="48">
        <f>AE120*1000000000000/(Emissions!$G$28*1000000*365*1000)</f>
        <v>1716.4624421761732</v>
      </c>
      <c r="AF126" s="48">
        <f>AF120*1000000000000/(Emissions!$G$28*1000000*365*1000)</f>
        <v>1742.2093788088166</v>
      </c>
    </row>
    <row r="129" ht="11.25">
      <c r="L129" s="49"/>
    </row>
  </sheetData>
  <mergeCells count="12">
    <mergeCell ref="G76:H76"/>
    <mergeCell ref="J113:Y114"/>
    <mergeCell ref="A14:I20"/>
    <mergeCell ref="A70:H71"/>
    <mergeCell ref="G75:H75"/>
    <mergeCell ref="G77:H77"/>
    <mergeCell ref="A10:I12"/>
    <mergeCell ref="G74:H74"/>
    <mergeCell ref="A55:G57"/>
    <mergeCell ref="A30:I31"/>
    <mergeCell ref="A38:I39"/>
    <mergeCell ref="A45:I47"/>
  </mergeCells>
  <conditionalFormatting sqref="L129 J101:AF105">
    <cfRule type="cellIs" priority="1" dxfId="0" operator="lessThan" stopIfTrue="1">
      <formula>0</formula>
    </cfRule>
  </conditionalFormatting>
  <printOptions gridLines="1"/>
  <pageMargins left="0.52" right="0.42" top="1" bottom="1" header="0.5" footer="0.5"/>
  <pageSetup horizontalDpi="600" verticalDpi="600" orientation="portrait" r:id="rId1"/>
  <rowBreaks count="1" manualBreakCount="1">
    <brk id="49" max="31" man="1"/>
  </rowBreaks>
</worksheet>
</file>

<file path=xl/worksheets/sheet2.xml><?xml version="1.0" encoding="utf-8"?>
<worksheet xmlns="http://schemas.openxmlformats.org/spreadsheetml/2006/main" xmlns:r="http://schemas.openxmlformats.org/officeDocument/2006/relationships">
  <dimension ref="A1:AG146"/>
  <sheetViews>
    <sheetView workbookViewId="0" topLeftCell="A1">
      <selection activeCell="A14" sqref="A14"/>
    </sheetView>
  </sheetViews>
  <sheetFormatPr defaultColWidth="9.140625" defaultRowHeight="12"/>
  <cols>
    <col min="6" max="6" width="9.140625" style="0" bestFit="1" customWidth="1"/>
    <col min="7" max="7" width="12.140625" style="0" customWidth="1"/>
    <col min="9" max="9" width="8.8515625" style="33" customWidth="1"/>
    <col min="10" max="10" width="8.8515625" style="0" customWidth="1"/>
    <col min="17" max="17" width="9.57421875" style="0" bestFit="1" customWidth="1"/>
    <col min="18" max="19" width="9.28125" style="0" bestFit="1" customWidth="1"/>
    <col min="20" max="24" width="9.57421875" style="0" bestFit="1" customWidth="1"/>
    <col min="25" max="25" width="9.28125" style="0" bestFit="1" customWidth="1"/>
    <col min="26" max="26" width="9.57421875" style="0" bestFit="1" customWidth="1"/>
    <col min="27" max="27" width="9.28125" style="0" bestFit="1" customWidth="1"/>
    <col min="28" max="29" width="9.57421875" style="0" bestFit="1" customWidth="1"/>
    <col min="30" max="32" width="9.28125" style="0" bestFit="1" customWidth="1"/>
  </cols>
  <sheetData>
    <row r="1" spans="1:5" ht="12.75">
      <c r="A1" s="1" t="s">
        <v>39</v>
      </c>
      <c r="E1" t="s">
        <v>174</v>
      </c>
    </row>
    <row r="2" ht="12.75">
      <c r="A2" s="1"/>
    </row>
    <row r="3" spans="1:10" ht="11.25">
      <c r="A3" s="138" t="s">
        <v>8</v>
      </c>
      <c r="B3" s="138"/>
      <c r="C3" s="138"/>
      <c r="D3" s="138"/>
      <c r="E3" s="138"/>
      <c r="F3" s="120"/>
      <c r="G3" s="82" t="s">
        <v>43</v>
      </c>
      <c r="I3" s="82" t="s">
        <v>146</v>
      </c>
      <c r="J3" s="82" t="s">
        <v>149</v>
      </c>
    </row>
    <row r="4" spans="1:10" ht="11.25">
      <c r="A4" s="138"/>
      <c r="B4" s="138"/>
      <c r="C4" s="138"/>
      <c r="D4" s="138"/>
      <c r="E4" s="138"/>
      <c r="F4" s="120"/>
      <c r="G4" s="83" t="s">
        <v>108</v>
      </c>
      <c r="I4" s="83" t="s">
        <v>147</v>
      </c>
      <c r="J4" s="83" t="s">
        <v>150</v>
      </c>
    </row>
    <row r="5" spans="1:10" ht="11.25">
      <c r="A5" s="138"/>
      <c r="B5" s="138"/>
      <c r="C5" s="138"/>
      <c r="D5" s="138"/>
      <c r="E5" s="138"/>
      <c r="F5" s="120"/>
      <c r="G5" s="83" t="s">
        <v>109</v>
      </c>
      <c r="I5" s="83" t="s">
        <v>148</v>
      </c>
      <c r="J5" s="83" t="s">
        <v>151</v>
      </c>
    </row>
    <row r="6" spans="1:10" ht="12.75">
      <c r="A6" s="1"/>
      <c r="G6" s="83" t="s">
        <v>159</v>
      </c>
      <c r="I6" s="84" t="s">
        <v>158</v>
      </c>
      <c r="J6" s="84" t="s">
        <v>152</v>
      </c>
    </row>
    <row r="7" spans="7:32" ht="11.25">
      <c r="G7" s="98" t="s">
        <v>160</v>
      </c>
      <c r="H7" s="13"/>
      <c r="I7" s="95">
        <v>2007</v>
      </c>
      <c r="J7" s="96">
        <f>Summary!J71</f>
        <v>2008</v>
      </c>
      <c r="K7" s="13">
        <f aca="true" t="shared" si="0" ref="K7:AF7">J7+1</f>
        <v>2009</v>
      </c>
      <c r="L7" s="13">
        <f t="shared" si="0"/>
        <v>2010</v>
      </c>
      <c r="M7" s="13">
        <f t="shared" si="0"/>
        <v>2011</v>
      </c>
      <c r="N7" s="13">
        <f t="shared" si="0"/>
        <v>2012</v>
      </c>
      <c r="O7" s="13">
        <f t="shared" si="0"/>
        <v>2013</v>
      </c>
      <c r="P7" s="13">
        <f t="shared" si="0"/>
        <v>2014</v>
      </c>
      <c r="Q7" s="13">
        <f t="shared" si="0"/>
        <v>2015</v>
      </c>
      <c r="R7" s="13">
        <f t="shared" si="0"/>
        <v>2016</v>
      </c>
      <c r="S7" s="13">
        <f t="shared" si="0"/>
        <v>2017</v>
      </c>
      <c r="T7" s="13">
        <f t="shared" si="0"/>
        <v>2018</v>
      </c>
      <c r="U7" s="13">
        <f t="shared" si="0"/>
        <v>2019</v>
      </c>
      <c r="V7" s="13">
        <f t="shared" si="0"/>
        <v>2020</v>
      </c>
      <c r="W7" s="13">
        <f t="shared" si="0"/>
        <v>2021</v>
      </c>
      <c r="X7" s="13">
        <f t="shared" si="0"/>
        <v>2022</v>
      </c>
      <c r="Y7" s="13">
        <f t="shared" si="0"/>
        <v>2023</v>
      </c>
      <c r="Z7" s="13">
        <f t="shared" si="0"/>
        <v>2024</v>
      </c>
      <c r="AA7" s="13">
        <f t="shared" si="0"/>
        <v>2025</v>
      </c>
      <c r="AB7" s="13">
        <f t="shared" si="0"/>
        <v>2026</v>
      </c>
      <c r="AC7" s="13">
        <f t="shared" si="0"/>
        <v>2027</v>
      </c>
      <c r="AD7" s="13">
        <f t="shared" si="0"/>
        <v>2028</v>
      </c>
      <c r="AE7" s="13">
        <f t="shared" si="0"/>
        <v>2029</v>
      </c>
      <c r="AF7" s="13">
        <f t="shared" si="0"/>
        <v>2030</v>
      </c>
    </row>
    <row r="8" spans="1:32" ht="12">
      <c r="A8" s="99" t="s">
        <v>161</v>
      </c>
      <c r="G8" s="97"/>
      <c r="H8" s="13"/>
      <c r="I8" s="95"/>
      <c r="J8" s="96"/>
      <c r="K8" s="13"/>
      <c r="L8" s="13"/>
      <c r="M8" s="13"/>
      <c r="N8" s="13"/>
      <c r="O8" s="13"/>
      <c r="P8" s="13"/>
      <c r="Q8" s="13"/>
      <c r="R8" s="13"/>
      <c r="S8" s="13"/>
      <c r="T8" s="13"/>
      <c r="U8" s="13"/>
      <c r="V8" s="13"/>
      <c r="W8" s="13"/>
      <c r="X8" s="13"/>
      <c r="Y8" s="13"/>
      <c r="Z8" s="13"/>
      <c r="AA8" s="13"/>
      <c r="AB8" s="13"/>
      <c r="AC8" s="13"/>
      <c r="AD8" s="13"/>
      <c r="AE8" s="13"/>
      <c r="AF8" s="13"/>
    </row>
    <row r="9" ht="12">
      <c r="A9" s="109" t="s">
        <v>162</v>
      </c>
    </row>
    <row r="11" spans="1:7" ht="11.25">
      <c r="A11" s="99" t="s">
        <v>51</v>
      </c>
      <c r="G11" s="94">
        <f>Summary!H59</f>
        <v>10</v>
      </c>
    </row>
    <row r="12" spans="1:32" ht="11.25">
      <c r="A12" t="s">
        <v>145</v>
      </c>
      <c r="G12" s="2"/>
      <c r="I12" s="70" t="s">
        <v>157</v>
      </c>
      <c r="J12" s="63" t="str">
        <f>IF(J$7&gt;=$I$7,"YES","NO")</f>
        <v>YES</v>
      </c>
      <c r="K12" s="63" t="str">
        <f aca="true" t="shared" si="1" ref="K12:AF12">IF(K$7&gt;=$I$7,"YES","NO")</f>
        <v>YES</v>
      </c>
      <c r="L12" s="63" t="str">
        <f t="shared" si="1"/>
        <v>YES</v>
      </c>
      <c r="M12" s="63" t="str">
        <f t="shared" si="1"/>
        <v>YES</v>
      </c>
      <c r="N12" s="63" t="str">
        <f t="shared" si="1"/>
        <v>YES</v>
      </c>
      <c r="O12" s="63" t="str">
        <f t="shared" si="1"/>
        <v>YES</v>
      </c>
      <c r="P12" s="63" t="str">
        <f t="shared" si="1"/>
        <v>YES</v>
      </c>
      <c r="Q12" s="63" t="str">
        <f t="shared" si="1"/>
        <v>YES</v>
      </c>
      <c r="R12" s="63" t="str">
        <f t="shared" si="1"/>
        <v>YES</v>
      </c>
      <c r="S12" s="63" t="str">
        <f t="shared" si="1"/>
        <v>YES</v>
      </c>
      <c r="T12" s="63" t="str">
        <f t="shared" si="1"/>
        <v>YES</v>
      </c>
      <c r="U12" s="63" t="str">
        <f t="shared" si="1"/>
        <v>YES</v>
      </c>
      <c r="V12" s="63" t="str">
        <f t="shared" si="1"/>
        <v>YES</v>
      </c>
      <c r="W12" s="63" t="str">
        <f t="shared" si="1"/>
        <v>YES</v>
      </c>
      <c r="X12" s="63" t="str">
        <f t="shared" si="1"/>
        <v>YES</v>
      </c>
      <c r="Y12" s="63" t="str">
        <f t="shared" si="1"/>
        <v>YES</v>
      </c>
      <c r="Z12" s="63" t="str">
        <f t="shared" si="1"/>
        <v>YES</v>
      </c>
      <c r="AA12" s="63" t="str">
        <f t="shared" si="1"/>
        <v>YES</v>
      </c>
      <c r="AB12" s="63" t="str">
        <f t="shared" si="1"/>
        <v>YES</v>
      </c>
      <c r="AC12" s="63" t="str">
        <f t="shared" si="1"/>
        <v>YES</v>
      </c>
      <c r="AD12" s="63" t="str">
        <f t="shared" si="1"/>
        <v>YES</v>
      </c>
      <c r="AE12" s="63" t="str">
        <f t="shared" si="1"/>
        <v>YES</v>
      </c>
      <c r="AF12" s="63" t="str">
        <f t="shared" si="1"/>
        <v>YES</v>
      </c>
    </row>
    <row r="13" spans="1:32" ht="11.25">
      <c r="A13" t="s">
        <v>154</v>
      </c>
      <c r="G13" s="2"/>
      <c r="I13" s="63" t="s">
        <v>157</v>
      </c>
      <c r="J13" s="63" t="str">
        <f>IF(J$7&gt;Summary!$H68,"YES","NO")</f>
        <v>NO</v>
      </c>
      <c r="K13" s="63" t="str">
        <f>IF(K$7&gt;Summary!$H68,"YES","NO")</f>
        <v>NO</v>
      </c>
      <c r="L13" s="63" t="str">
        <f>IF(L$7&gt;Summary!$H68,"YES","NO")</f>
        <v>NO</v>
      </c>
      <c r="M13" s="63" t="str">
        <f>IF(M$7&gt;Summary!$H68,"YES","NO")</f>
        <v>NO</v>
      </c>
      <c r="N13" s="63" t="str">
        <f>IF(N$7&gt;Summary!$H68,"YES","NO")</f>
        <v>NO</v>
      </c>
      <c r="O13" s="63" t="str">
        <f>IF(O$7&gt;Summary!$H68,"YES","NO")</f>
        <v>NO</v>
      </c>
      <c r="P13" s="63" t="str">
        <f>IF(P$7&gt;Summary!$H68,"YES","NO")</f>
        <v>NO</v>
      </c>
      <c r="Q13" s="63" t="str">
        <f>IF(Q$7&gt;Summary!$H68,"YES","NO")</f>
        <v>NO</v>
      </c>
      <c r="R13" s="63" t="str">
        <f>IF(R$7&gt;Summary!$H68,"YES","NO")</f>
        <v>NO</v>
      </c>
      <c r="S13" s="63" t="str">
        <f>IF(S$7&gt;Summary!$H68,"YES","NO")</f>
        <v>NO</v>
      </c>
      <c r="T13" s="63" t="str">
        <f>IF(T$7&gt;Summary!$H68,"YES","NO")</f>
        <v>NO</v>
      </c>
      <c r="U13" s="63" t="str">
        <f>IF(U$7&gt;Summary!$H68,"YES","NO")</f>
        <v>NO</v>
      </c>
      <c r="V13" s="63" t="str">
        <f>IF(V$7&gt;Summary!$H68,"YES","NO")</f>
        <v>NO</v>
      </c>
      <c r="W13" s="63" t="str">
        <f>IF(W$7&gt;Summary!$H68,"YES","NO")</f>
        <v>NO</v>
      </c>
      <c r="X13" s="63" t="str">
        <f>IF(X$7&gt;Summary!$H68,"YES","NO")</f>
        <v>NO</v>
      </c>
      <c r="Y13" s="63" t="str">
        <f>IF(Y$7&gt;Summary!$H68,"YES","NO")</f>
        <v>NO</v>
      </c>
      <c r="Z13" s="63" t="str">
        <f>IF(Z$7&gt;Summary!$H68,"YES","NO")</f>
        <v>NO</v>
      </c>
      <c r="AA13" s="63" t="str">
        <f>IF(AA$7&gt;Summary!$H68,"YES","NO")</f>
        <v>NO</v>
      </c>
      <c r="AB13" s="63" t="str">
        <f>IF(AB$7&gt;Summary!$H68,"YES","NO")</f>
        <v>NO</v>
      </c>
      <c r="AC13" s="63" t="str">
        <f>IF(AC$7&gt;Summary!$H68,"YES","NO")</f>
        <v>NO</v>
      </c>
      <c r="AD13" s="63" t="str">
        <f>IF(AD$7&gt;Summary!$H68,"YES","NO")</f>
        <v>YES</v>
      </c>
      <c r="AE13" s="63" t="str">
        <f>IF(AE$7&gt;Summary!$H68,"YES","NO")</f>
        <v>YES</v>
      </c>
      <c r="AF13" s="63" t="str">
        <f>IF(AF$7&gt;Summary!$H68,"YES","NO")</f>
        <v>YES</v>
      </c>
    </row>
    <row r="14" spans="1:32" ht="11.25">
      <c r="A14" t="s">
        <v>153</v>
      </c>
      <c r="I14">
        <f>IF(I12="NO",0,(IF(I12="YES",H14+1,3)))</f>
        <v>0</v>
      </c>
      <c r="J14">
        <f aca="true" t="shared" si="2" ref="J14:W14">IF(J12="NO",0,(IF(AND(J12="YES",J13="NO"),I14+1,I14)))</f>
        <v>1</v>
      </c>
      <c r="K14">
        <f t="shared" si="2"/>
        <v>2</v>
      </c>
      <c r="L14">
        <f t="shared" si="2"/>
        <v>3</v>
      </c>
      <c r="M14">
        <f t="shared" si="2"/>
        <v>4</v>
      </c>
      <c r="N14">
        <f t="shared" si="2"/>
        <v>5</v>
      </c>
      <c r="O14">
        <f t="shared" si="2"/>
        <v>6</v>
      </c>
      <c r="P14">
        <f t="shared" si="2"/>
        <v>7</v>
      </c>
      <c r="Q14">
        <f t="shared" si="2"/>
        <v>8</v>
      </c>
      <c r="R14">
        <f t="shared" si="2"/>
        <v>9</v>
      </c>
      <c r="S14">
        <f t="shared" si="2"/>
        <v>10</v>
      </c>
      <c r="T14">
        <f t="shared" si="2"/>
        <v>11</v>
      </c>
      <c r="U14">
        <f t="shared" si="2"/>
        <v>12</v>
      </c>
      <c r="V14">
        <f t="shared" si="2"/>
        <v>13</v>
      </c>
      <c r="W14">
        <f t="shared" si="2"/>
        <v>14</v>
      </c>
      <c r="X14">
        <f aca="true" t="shared" si="3" ref="X14:AF14">IF(X12="NO",0,(IF(AND(X12="YES",X13="NO"),W14+1,W14)))</f>
        <v>15</v>
      </c>
      <c r="Y14">
        <f t="shared" si="3"/>
        <v>16</v>
      </c>
      <c r="Z14">
        <f t="shared" si="3"/>
        <v>17</v>
      </c>
      <c r="AA14">
        <f t="shared" si="3"/>
        <v>18</v>
      </c>
      <c r="AB14">
        <f t="shared" si="3"/>
        <v>19</v>
      </c>
      <c r="AC14">
        <f t="shared" si="3"/>
        <v>20</v>
      </c>
      <c r="AD14">
        <f t="shared" si="3"/>
        <v>20</v>
      </c>
      <c r="AE14">
        <f t="shared" si="3"/>
        <v>20</v>
      </c>
      <c r="AF14">
        <f t="shared" si="3"/>
        <v>20</v>
      </c>
    </row>
    <row r="15" spans="1:32" ht="11.25">
      <c r="A15" t="s">
        <v>52</v>
      </c>
      <c r="G15" s="2"/>
      <c r="I15" s="71">
        <f aca="true" t="shared" si="4" ref="I15:W15">I14*$G$11</f>
        <v>0</v>
      </c>
      <c r="J15" s="71">
        <f t="shared" si="4"/>
        <v>10</v>
      </c>
      <c r="K15" s="71">
        <f t="shared" si="4"/>
        <v>20</v>
      </c>
      <c r="L15" s="71">
        <f t="shared" si="4"/>
        <v>30</v>
      </c>
      <c r="M15" s="71">
        <f t="shared" si="4"/>
        <v>40</v>
      </c>
      <c r="N15" s="71">
        <f t="shared" si="4"/>
        <v>50</v>
      </c>
      <c r="O15" s="71">
        <f t="shared" si="4"/>
        <v>60</v>
      </c>
      <c r="P15" s="71">
        <f t="shared" si="4"/>
        <v>70</v>
      </c>
      <c r="Q15" s="71">
        <f t="shared" si="4"/>
        <v>80</v>
      </c>
      <c r="R15" s="71">
        <f t="shared" si="4"/>
        <v>90</v>
      </c>
      <c r="S15" s="71">
        <f t="shared" si="4"/>
        <v>100</v>
      </c>
      <c r="T15" s="71">
        <f t="shared" si="4"/>
        <v>110</v>
      </c>
      <c r="U15" s="71">
        <f t="shared" si="4"/>
        <v>120</v>
      </c>
      <c r="V15" s="71">
        <f t="shared" si="4"/>
        <v>130</v>
      </c>
      <c r="W15" s="71">
        <f t="shared" si="4"/>
        <v>140</v>
      </c>
      <c r="X15" s="71">
        <f aca="true" t="shared" si="5" ref="X15:AF15">X14*$G$11</f>
        <v>150</v>
      </c>
      <c r="Y15" s="71">
        <f t="shared" si="5"/>
        <v>160</v>
      </c>
      <c r="Z15" s="71">
        <f t="shared" si="5"/>
        <v>170</v>
      </c>
      <c r="AA15" s="71">
        <f t="shared" si="5"/>
        <v>180</v>
      </c>
      <c r="AB15" s="71">
        <f t="shared" si="5"/>
        <v>190</v>
      </c>
      <c r="AC15" s="71">
        <f t="shared" si="5"/>
        <v>200</v>
      </c>
      <c r="AD15" s="71">
        <f t="shared" si="5"/>
        <v>200</v>
      </c>
      <c r="AE15" s="71">
        <f t="shared" si="5"/>
        <v>200</v>
      </c>
      <c r="AF15" s="71">
        <f t="shared" si="5"/>
        <v>200</v>
      </c>
    </row>
    <row r="16" spans="1:10" ht="11.25">
      <c r="A16" t="s">
        <v>53</v>
      </c>
      <c r="G16" s="23">
        <f>44/12</f>
        <v>3.6666666666666665</v>
      </c>
      <c r="H16" s="2"/>
      <c r="J16" s="18"/>
    </row>
    <row r="17" spans="1:7" ht="11.25">
      <c r="A17" t="s">
        <v>44</v>
      </c>
      <c r="G17" s="20">
        <v>2205</v>
      </c>
    </row>
    <row r="18" spans="1:32" s="114" customFormat="1" ht="11.25">
      <c r="A18" s="114" t="s">
        <v>29</v>
      </c>
      <c r="G18" s="115"/>
      <c r="I18" s="116">
        <f aca="true" t="shared" si="6" ref="I18:AF18">I15/$G$16*$G$17/2000</f>
        <v>0</v>
      </c>
      <c r="J18" s="117">
        <f t="shared" si="6"/>
        <v>3.006818181818182</v>
      </c>
      <c r="K18" s="117">
        <f t="shared" si="6"/>
        <v>6.013636363636364</v>
      </c>
      <c r="L18" s="117">
        <f t="shared" si="6"/>
        <v>9.020454545454546</v>
      </c>
      <c r="M18" s="117">
        <f t="shared" si="6"/>
        <v>12.027272727272727</v>
      </c>
      <c r="N18" s="117">
        <f t="shared" si="6"/>
        <v>15.03409090909091</v>
      </c>
      <c r="O18" s="117">
        <f t="shared" si="6"/>
        <v>18.040909090909093</v>
      </c>
      <c r="P18" s="117">
        <f t="shared" si="6"/>
        <v>21.047727272727272</v>
      </c>
      <c r="Q18" s="117">
        <f t="shared" si="6"/>
        <v>24.054545454545455</v>
      </c>
      <c r="R18" s="117">
        <f t="shared" si="6"/>
        <v>27.061363636363637</v>
      </c>
      <c r="S18" s="117">
        <f t="shared" si="6"/>
        <v>30.06818181818182</v>
      </c>
      <c r="T18" s="117">
        <f t="shared" si="6"/>
        <v>33.075</v>
      </c>
      <c r="U18" s="117">
        <f t="shared" si="6"/>
        <v>36.081818181818186</v>
      </c>
      <c r="V18" s="117">
        <f t="shared" si="6"/>
        <v>39.08863636363636</v>
      </c>
      <c r="W18" s="117">
        <f t="shared" si="6"/>
        <v>42.095454545454544</v>
      </c>
      <c r="X18" s="117">
        <f t="shared" si="6"/>
        <v>45.102272727272734</v>
      </c>
      <c r="Y18" s="117">
        <f t="shared" si="6"/>
        <v>48.10909090909091</v>
      </c>
      <c r="Z18" s="117">
        <f t="shared" si="6"/>
        <v>51.11590909090909</v>
      </c>
      <c r="AA18" s="117">
        <f t="shared" si="6"/>
        <v>54.122727272727275</v>
      </c>
      <c r="AB18" s="117">
        <f t="shared" si="6"/>
        <v>57.12954545454546</v>
      </c>
      <c r="AC18" s="117">
        <f t="shared" si="6"/>
        <v>60.13636363636364</v>
      </c>
      <c r="AD18" s="117">
        <f t="shared" si="6"/>
        <v>60.13636363636364</v>
      </c>
      <c r="AE18" s="117">
        <f t="shared" si="6"/>
        <v>60.13636363636364</v>
      </c>
      <c r="AF18" s="117">
        <f t="shared" si="6"/>
        <v>60.13636363636364</v>
      </c>
    </row>
    <row r="20" spans="1:33" ht="11.25">
      <c r="A20" t="s">
        <v>178</v>
      </c>
      <c r="F20" s="123" t="s">
        <v>179</v>
      </c>
      <c r="G20">
        <v>8.85</v>
      </c>
      <c r="I20" s="33">
        <f>G20+1/2</f>
        <v>9.35</v>
      </c>
      <c r="J20" s="24">
        <f aca="true" t="shared" si="7" ref="J20:AF20">$I20+J51</f>
        <v>9.532697222926904</v>
      </c>
      <c r="K20" s="24">
        <f t="shared" si="7"/>
        <v>9.712431788184725</v>
      </c>
      <c r="L20" s="24">
        <f t="shared" si="7"/>
        <v>9.889239728096463</v>
      </c>
      <c r="M20" s="24">
        <f t="shared" si="7"/>
        <v>10.063156685446494</v>
      </c>
      <c r="N20" s="24">
        <f t="shared" si="7"/>
        <v>10.234217917428593</v>
      </c>
      <c r="O20" s="24">
        <f t="shared" si="7"/>
        <v>10.402458299555546</v>
      </c>
      <c r="P20" s="24">
        <f t="shared" si="7"/>
        <v>10.567912329530719</v>
      </c>
      <c r="Q20" s="24">
        <f t="shared" si="7"/>
        <v>10.730614131081929</v>
      </c>
      <c r="R20" s="24">
        <f t="shared" si="7"/>
        <v>10.890597457757975</v>
      </c>
      <c r="S20" s="24">
        <f t="shared" si="7"/>
        <v>11.047895696688219</v>
      </c>
      <c r="T20" s="24">
        <f t="shared" si="7"/>
        <v>11.202541872305497</v>
      </c>
      <c r="U20" s="24">
        <f t="shared" si="7"/>
        <v>11.354568650032778</v>
      </c>
      <c r="V20" s="24">
        <f t="shared" si="7"/>
        <v>11.504008339933872</v>
      </c>
      <c r="W20" s="24">
        <f t="shared" si="7"/>
        <v>11.65089290032853</v>
      </c>
      <c r="X20" s="24">
        <f t="shared" si="7"/>
        <v>11.795253941372309</v>
      </c>
      <c r="Y20" s="24">
        <f t="shared" si="7"/>
        <v>11.937122728601478</v>
      </c>
      <c r="Z20" s="24">
        <f t="shared" si="7"/>
        <v>12.076530186443348</v>
      </c>
      <c r="AA20" s="24">
        <f t="shared" si="7"/>
        <v>12.21350690169233</v>
      </c>
      <c r="AB20" s="24">
        <f t="shared" si="7"/>
        <v>12.348083126952044</v>
      </c>
      <c r="AC20" s="24">
        <f t="shared" si="7"/>
        <v>12.480288784043815</v>
      </c>
      <c r="AD20" s="24">
        <f t="shared" si="7"/>
        <v>12.480288784043815</v>
      </c>
      <c r="AE20" s="24">
        <f t="shared" si="7"/>
        <v>12.480288784043815</v>
      </c>
      <c r="AF20" s="24">
        <f t="shared" si="7"/>
        <v>12.480288784043815</v>
      </c>
      <c r="AG20" s="24"/>
    </row>
    <row r="21" ht="11.25">
      <c r="A21" s="3" t="s">
        <v>180</v>
      </c>
    </row>
    <row r="22" ht="11.25">
      <c r="A22" s="3" t="s">
        <v>106</v>
      </c>
    </row>
    <row r="24" spans="1:32" ht="11.25">
      <c r="A24" t="s">
        <v>181</v>
      </c>
      <c r="G24" s="20">
        <f>3819728808/1000000</f>
        <v>3819.728808</v>
      </c>
      <c r="I24" s="72">
        <f>$G$24*(1+$G$26)^1*(1+$G$27)^(I7-2007)</f>
        <v>3877.0247401199995</v>
      </c>
      <c r="J24" s="25">
        <f aca="true" t="shared" si="8" ref="J24:AF24">$G$24*(1+$G$26)^2*(1+$G$27)^(J7-2007)</f>
        <v>3994.2078128901253</v>
      </c>
      <c r="K24" s="25">
        <f t="shared" si="8"/>
        <v>4054.120930083476</v>
      </c>
      <c r="L24" s="25">
        <f t="shared" si="8"/>
        <v>4114.932744034728</v>
      </c>
      <c r="M24" s="25">
        <f t="shared" si="8"/>
        <v>4176.656735195248</v>
      </c>
      <c r="N24" s="25">
        <f t="shared" si="8"/>
        <v>4239.306586223177</v>
      </c>
      <c r="O24" s="25">
        <f t="shared" si="8"/>
        <v>4302.896185016523</v>
      </c>
      <c r="P24" s="25">
        <f t="shared" si="8"/>
        <v>4367.43962779177</v>
      </c>
      <c r="Q24" s="25">
        <f t="shared" si="8"/>
        <v>4432.951222208647</v>
      </c>
      <c r="R24" s="25">
        <f t="shared" si="8"/>
        <v>4499.445490541776</v>
      </c>
      <c r="S24" s="25">
        <f t="shared" si="8"/>
        <v>4566.937172899902</v>
      </c>
      <c r="T24" s="25">
        <f t="shared" si="8"/>
        <v>4635.4412304934</v>
      </c>
      <c r="U24" s="25">
        <f t="shared" si="8"/>
        <v>4704.9728489508</v>
      </c>
      <c r="V24" s="25">
        <f t="shared" si="8"/>
        <v>4775.547441685062</v>
      </c>
      <c r="W24" s="25">
        <f t="shared" si="8"/>
        <v>4847.180653310336</v>
      </c>
      <c r="X24" s="25">
        <f t="shared" si="8"/>
        <v>4919.888363109991</v>
      </c>
      <c r="Y24" s="25">
        <f t="shared" si="8"/>
        <v>4993.68668855664</v>
      </c>
      <c r="Z24" s="25">
        <f t="shared" si="8"/>
        <v>5068.5919888849885</v>
      </c>
      <c r="AA24" s="25">
        <f t="shared" si="8"/>
        <v>5144.620868718263</v>
      </c>
      <c r="AB24" s="25">
        <f t="shared" si="8"/>
        <v>5221.7901817490365</v>
      </c>
      <c r="AC24" s="25">
        <f t="shared" si="8"/>
        <v>5300.117034475271</v>
      </c>
      <c r="AD24" s="25">
        <f t="shared" si="8"/>
        <v>5379.618789992399</v>
      </c>
      <c r="AE24" s="25">
        <f t="shared" si="8"/>
        <v>5460.313071842284</v>
      </c>
      <c r="AF24" s="25">
        <f t="shared" si="8"/>
        <v>5542.2177679199185</v>
      </c>
    </row>
    <row r="25" ht="11.25">
      <c r="A25" s="3" t="s">
        <v>182</v>
      </c>
    </row>
    <row r="26" spans="1:7" ht="11.25">
      <c r="A26" s="101" t="s">
        <v>122</v>
      </c>
      <c r="G26" s="102">
        <v>0.015</v>
      </c>
    </row>
    <row r="27" spans="1:7" ht="11.25">
      <c r="A27" s="101" t="s">
        <v>123</v>
      </c>
      <c r="G27" s="102">
        <f>G26</f>
        <v>0.015</v>
      </c>
    </row>
    <row r="28" spans="1:7" ht="11.25">
      <c r="A28" s="3" t="s">
        <v>183</v>
      </c>
      <c r="G28" s="5"/>
    </row>
    <row r="29" ht="11.25">
      <c r="A29" s="3"/>
    </row>
    <row r="30" spans="1:32" ht="11.25">
      <c r="A30" t="s">
        <v>249</v>
      </c>
      <c r="G30" s="156">
        <v>1.273</v>
      </c>
      <c r="J30" t="s">
        <v>248</v>
      </c>
      <c r="M30" s="7"/>
      <c r="N30" s="7"/>
      <c r="O30" s="7"/>
      <c r="P30" s="26">
        <v>1.805</v>
      </c>
      <c r="Q30" s="7"/>
      <c r="R30" s="7"/>
      <c r="S30" s="7"/>
      <c r="T30" s="7"/>
      <c r="U30" s="7"/>
      <c r="V30" s="7"/>
      <c r="W30" s="7"/>
      <c r="X30" s="7"/>
      <c r="Y30" s="7"/>
      <c r="Z30" s="7"/>
      <c r="AA30" s="7"/>
      <c r="AB30" s="7"/>
      <c r="AC30" s="7"/>
      <c r="AD30" s="7"/>
      <c r="AE30" s="7"/>
      <c r="AF30" s="7"/>
    </row>
    <row r="31" spans="1:32" ht="11.25">
      <c r="A31" s="3" t="s">
        <v>250</v>
      </c>
      <c r="G31" s="23"/>
      <c r="M31" s="7"/>
      <c r="N31" s="7"/>
      <c r="O31" s="7"/>
      <c r="P31" s="7"/>
      <c r="Q31" s="7"/>
      <c r="R31" s="7"/>
      <c r="S31" s="7"/>
      <c r="T31" s="7"/>
      <c r="U31" s="7"/>
      <c r="V31" s="7"/>
      <c r="W31" s="7"/>
      <c r="X31" s="7"/>
      <c r="Y31" s="7"/>
      <c r="Z31" s="7"/>
      <c r="AA31" s="7"/>
      <c r="AB31" s="7"/>
      <c r="AC31" s="7"/>
      <c r="AD31" s="7"/>
      <c r="AE31" s="7"/>
      <c r="AF31" s="7"/>
    </row>
    <row r="32" spans="1:7" ht="11.25">
      <c r="A32" t="s">
        <v>125</v>
      </c>
      <c r="G32" s="65">
        <v>0</v>
      </c>
    </row>
    <row r="33" spans="1:12" ht="11.25">
      <c r="A33" s="3"/>
      <c r="I33" s="121">
        <v>0.76</v>
      </c>
      <c r="K33" s="3" t="s">
        <v>126</v>
      </c>
      <c r="L33" s="3">
        <v>0.82</v>
      </c>
    </row>
    <row r="34" spans="1:32" ht="11.25">
      <c r="A34" t="s">
        <v>124</v>
      </c>
      <c r="G34" s="24">
        <f>G30</f>
        <v>1.273</v>
      </c>
      <c r="I34" s="74">
        <f aca="true" t="shared" si="9" ref="I34:AF34">$G$30*(1-$G$32)^(I7-2005)</f>
        <v>1.273</v>
      </c>
      <c r="J34" s="7">
        <f t="shared" si="9"/>
        <v>1.273</v>
      </c>
      <c r="K34" s="7">
        <f t="shared" si="9"/>
        <v>1.273</v>
      </c>
      <c r="L34" s="7">
        <f t="shared" si="9"/>
        <v>1.273</v>
      </c>
      <c r="M34" s="7">
        <f t="shared" si="9"/>
        <v>1.273</v>
      </c>
      <c r="N34" s="7">
        <f t="shared" si="9"/>
        <v>1.273</v>
      </c>
      <c r="O34" s="7">
        <f t="shared" si="9"/>
        <v>1.273</v>
      </c>
      <c r="P34" s="7">
        <f t="shared" si="9"/>
        <v>1.273</v>
      </c>
      <c r="Q34" s="7">
        <f t="shared" si="9"/>
        <v>1.273</v>
      </c>
      <c r="R34" s="7">
        <f t="shared" si="9"/>
        <v>1.273</v>
      </c>
      <c r="S34" s="7">
        <f t="shared" si="9"/>
        <v>1.273</v>
      </c>
      <c r="T34" s="7">
        <f t="shared" si="9"/>
        <v>1.273</v>
      </c>
      <c r="U34" s="7">
        <f t="shared" si="9"/>
        <v>1.273</v>
      </c>
      <c r="V34" s="7">
        <f t="shared" si="9"/>
        <v>1.273</v>
      </c>
      <c r="W34" s="7">
        <f t="shared" si="9"/>
        <v>1.273</v>
      </c>
      <c r="X34" s="7">
        <f t="shared" si="9"/>
        <v>1.273</v>
      </c>
      <c r="Y34" s="7">
        <f t="shared" si="9"/>
        <v>1.273</v>
      </c>
      <c r="Z34" s="7">
        <f t="shared" si="9"/>
        <v>1.273</v>
      </c>
      <c r="AA34" s="7">
        <f t="shared" si="9"/>
        <v>1.273</v>
      </c>
      <c r="AB34" s="7">
        <f t="shared" si="9"/>
        <v>1.273</v>
      </c>
      <c r="AC34" s="7">
        <f t="shared" si="9"/>
        <v>1.273</v>
      </c>
      <c r="AD34" s="7">
        <f t="shared" si="9"/>
        <v>1.273</v>
      </c>
      <c r="AE34" s="7">
        <f t="shared" si="9"/>
        <v>1.273</v>
      </c>
      <c r="AF34" s="7">
        <f t="shared" si="9"/>
        <v>1.273</v>
      </c>
    </row>
    <row r="35" ht="11.25">
      <c r="A35" s="3"/>
    </row>
    <row r="36" spans="1:32" ht="11.25">
      <c r="A36" t="s">
        <v>184</v>
      </c>
      <c r="G36" s="20">
        <f>4052967846/1000000</f>
        <v>4052.967846</v>
      </c>
      <c r="I36" s="72">
        <f aca="true" t="shared" si="10" ref="I36:AF36">I24*$G$38</f>
        <v>4113.76236369</v>
      </c>
      <c r="J36" s="25">
        <f t="shared" si="10"/>
        <v>4238.100831132529</v>
      </c>
      <c r="K36" s="25">
        <f t="shared" si="10"/>
        <v>4301.672343599515</v>
      </c>
      <c r="L36" s="25">
        <f t="shared" si="10"/>
        <v>4366.197428753508</v>
      </c>
      <c r="M36" s="25">
        <f t="shared" si="10"/>
        <v>4431.69039018481</v>
      </c>
      <c r="N36" s="25">
        <f t="shared" si="10"/>
        <v>4498.165746037583</v>
      </c>
      <c r="O36" s="25">
        <f t="shared" si="10"/>
        <v>4565.638232228144</v>
      </c>
      <c r="P36" s="25">
        <f t="shared" si="10"/>
        <v>4634.122805711566</v>
      </c>
      <c r="Q36" s="25">
        <f t="shared" si="10"/>
        <v>4703.634647797239</v>
      </c>
      <c r="R36" s="25">
        <f t="shared" si="10"/>
        <v>4774.189167514198</v>
      </c>
      <c r="S36" s="25">
        <f t="shared" si="10"/>
        <v>4845.80200502691</v>
      </c>
      <c r="T36" s="25">
        <f t="shared" si="10"/>
        <v>4918.489035102313</v>
      </c>
      <c r="U36" s="25">
        <f t="shared" si="10"/>
        <v>4992.266370628846</v>
      </c>
      <c r="V36" s="25">
        <f t="shared" si="10"/>
        <v>5067.150366188279</v>
      </c>
      <c r="W36" s="25">
        <f t="shared" si="10"/>
        <v>5143.157621681102</v>
      </c>
      <c r="X36" s="25">
        <f t="shared" si="10"/>
        <v>5220.304986006317</v>
      </c>
      <c r="Y36" s="25">
        <f t="shared" si="10"/>
        <v>5298.609560796411</v>
      </c>
      <c r="Z36" s="25">
        <f t="shared" si="10"/>
        <v>5378.088704208357</v>
      </c>
      <c r="AA36" s="25">
        <f t="shared" si="10"/>
        <v>5458.760034771482</v>
      </c>
      <c r="AB36" s="25">
        <f t="shared" si="10"/>
        <v>5540.641435293053</v>
      </c>
      <c r="AC36" s="25">
        <f t="shared" si="10"/>
        <v>5623.751056822448</v>
      </c>
      <c r="AD36" s="25">
        <f t="shared" si="10"/>
        <v>5708.107322674783</v>
      </c>
      <c r="AE36" s="25">
        <f t="shared" si="10"/>
        <v>5793.728932514905</v>
      </c>
      <c r="AF36" s="25">
        <f t="shared" si="10"/>
        <v>5880.634866502628</v>
      </c>
    </row>
    <row r="37" ht="11.25">
      <c r="A37" s="3" t="s">
        <v>185</v>
      </c>
    </row>
    <row r="38" spans="1:7" ht="11.25">
      <c r="A38" s="15" t="s">
        <v>46</v>
      </c>
      <c r="G38" s="26">
        <f>G36/G24</f>
        <v>1.0610616747219088</v>
      </c>
    </row>
    <row r="40" spans="1:32" ht="11.25">
      <c r="A40" t="s">
        <v>30</v>
      </c>
      <c r="G40" s="19">
        <f>G36*$G$30*1000000/($G$17*1000)</f>
        <v>2339.876674810884</v>
      </c>
      <c r="I40" s="73">
        <f>I36*I34*1000000/($G$17*1000)</f>
        <v>2374.9748249330473</v>
      </c>
      <c r="J40" s="73">
        <f>J36*J34*1000000/($G$17*1000)</f>
        <v>2446.758439016648</v>
      </c>
      <c r="K40" s="73">
        <f aca="true" t="shared" si="11" ref="K40:AF40">K36*K34*1000000/($G$17*1000)</f>
        <v>2483.459815601897</v>
      </c>
      <c r="L40" s="73">
        <f t="shared" si="11"/>
        <v>2520.711712835925</v>
      </c>
      <c r="M40" s="73">
        <f t="shared" si="11"/>
        <v>2558.522388528464</v>
      </c>
      <c r="N40" s="73">
        <f t="shared" si="11"/>
        <v>2596.900224356391</v>
      </c>
      <c r="O40" s="73">
        <f t="shared" si="11"/>
        <v>2635.853727721736</v>
      </c>
      <c r="P40" s="73">
        <f t="shared" si="11"/>
        <v>2675.3915336375617</v>
      </c>
      <c r="Q40" s="73">
        <f t="shared" si="11"/>
        <v>2715.5224066421247</v>
      </c>
      <c r="R40" s="73">
        <f t="shared" si="11"/>
        <v>2756.2552427417563</v>
      </c>
      <c r="S40" s="73">
        <f t="shared" si="11"/>
        <v>2797.5990713828824</v>
      </c>
      <c r="T40" s="73">
        <f t="shared" si="11"/>
        <v>2839.563057453626</v>
      </c>
      <c r="U40" s="73">
        <f t="shared" si="11"/>
        <v>2882.156503315429</v>
      </c>
      <c r="V40" s="73">
        <f t="shared" si="11"/>
        <v>2925.3888508651603</v>
      </c>
      <c r="W40" s="73">
        <f t="shared" si="11"/>
        <v>2969.269683628137</v>
      </c>
      <c r="X40" s="73">
        <f t="shared" si="11"/>
        <v>3013.8087288825586</v>
      </c>
      <c r="Y40" s="73">
        <f t="shared" si="11"/>
        <v>3059.015859815796</v>
      </c>
      <c r="Z40" s="73">
        <f t="shared" si="11"/>
        <v>3104.901097713033</v>
      </c>
      <c r="AA40" s="73">
        <f t="shared" si="11"/>
        <v>3151.4746141787286</v>
      </c>
      <c r="AB40" s="73">
        <f t="shared" si="11"/>
        <v>3198.7467333914087</v>
      </c>
      <c r="AC40" s="73">
        <f t="shared" si="11"/>
        <v>3246.727934392279</v>
      </c>
      <c r="AD40" s="73">
        <f t="shared" si="11"/>
        <v>3295.4288534081625</v>
      </c>
      <c r="AE40" s="73">
        <f t="shared" si="11"/>
        <v>3344.860286209285</v>
      </c>
      <c r="AF40" s="73">
        <f t="shared" si="11"/>
        <v>3395.033190502424</v>
      </c>
    </row>
    <row r="41" spans="1:7" ht="11.25">
      <c r="A41" s="3" t="s">
        <v>57</v>
      </c>
      <c r="G41" s="21"/>
    </row>
    <row r="42" spans="1:7" ht="11.25">
      <c r="A42" s="3"/>
      <c r="G42" s="21"/>
    </row>
    <row r="43" spans="1:32" ht="11.25">
      <c r="A43" s="101" t="s">
        <v>31</v>
      </c>
      <c r="G43" s="101">
        <v>0.03</v>
      </c>
      <c r="J43" s="23"/>
      <c r="K43" s="23"/>
      <c r="L43" s="23"/>
      <c r="M43" s="23"/>
      <c r="N43" s="23"/>
      <c r="O43" s="23"/>
      <c r="P43" s="23"/>
      <c r="Q43" s="23"/>
      <c r="R43" s="23"/>
      <c r="S43" s="23"/>
      <c r="T43" s="23"/>
      <c r="U43" s="23"/>
      <c r="V43" s="23"/>
      <c r="W43" s="23"/>
      <c r="X43" s="23"/>
      <c r="Y43" s="23"/>
      <c r="Z43" s="23"/>
      <c r="AA43" s="23"/>
      <c r="AB43" s="23"/>
      <c r="AC43" s="23"/>
      <c r="AD43" s="23"/>
      <c r="AE43" s="23"/>
      <c r="AF43" s="23"/>
    </row>
    <row r="44" spans="1:7" ht="11.25">
      <c r="A44" s="3" t="s">
        <v>115</v>
      </c>
      <c r="G44" s="5"/>
    </row>
    <row r="45" spans="1:7" ht="11.25">
      <c r="A45" t="s">
        <v>114</v>
      </c>
      <c r="G45" s="17">
        <f>G43*Summary!H59/37</f>
        <v>0.008108108108108109</v>
      </c>
    </row>
    <row r="46" spans="1:32" ht="11.25">
      <c r="A46" t="s">
        <v>127</v>
      </c>
      <c r="J46" s="7">
        <f aca="true" t="shared" si="12" ref="J46:AF46">J34*(1-$G$45)^(J15/$G$11)</f>
        <v>1.2626783783783782</v>
      </c>
      <c r="K46" s="7">
        <f t="shared" si="12"/>
        <v>1.2524404455807157</v>
      </c>
      <c r="L46" s="7">
        <f t="shared" si="12"/>
        <v>1.2422855230489802</v>
      </c>
      <c r="M46" s="7">
        <f t="shared" si="12"/>
        <v>1.2322129377269615</v>
      </c>
      <c r="N46" s="7">
        <f t="shared" si="12"/>
        <v>1.2222220220156617</v>
      </c>
      <c r="O46" s="7">
        <f t="shared" si="12"/>
        <v>1.2123121137290482</v>
      </c>
      <c r="P46" s="7">
        <f t="shared" si="12"/>
        <v>1.202482556050164</v>
      </c>
      <c r="Q46" s="7">
        <f t="shared" si="12"/>
        <v>1.1927326974875951</v>
      </c>
      <c r="R46" s="7">
        <f t="shared" si="12"/>
        <v>1.1830618918322904</v>
      </c>
      <c r="S46" s="7">
        <f t="shared" si="12"/>
        <v>1.1734694981147311</v>
      </c>
      <c r="T46" s="7">
        <f t="shared" si="12"/>
        <v>1.1639548805624496</v>
      </c>
      <c r="U46" s="7">
        <f t="shared" si="12"/>
        <v>1.154517408557889</v>
      </c>
      <c r="V46" s="7">
        <f t="shared" si="12"/>
        <v>1.145156456596609</v>
      </c>
      <c r="W46" s="7">
        <f t="shared" si="12"/>
        <v>1.1358714042458258</v>
      </c>
      <c r="X46" s="7">
        <f t="shared" si="12"/>
        <v>1.126661636103292</v>
      </c>
      <c r="Y46" s="7">
        <f t="shared" si="12"/>
        <v>1.1175265417565086</v>
      </c>
      <c r="Z46" s="7">
        <f t="shared" si="12"/>
        <v>1.1084655157422665</v>
      </c>
      <c r="AA46" s="7">
        <f t="shared" si="12"/>
        <v>1.0994779575065183</v>
      </c>
      <c r="AB46" s="7">
        <f t="shared" si="12"/>
        <v>1.0905632713645736</v>
      </c>
      <c r="AC46" s="7">
        <f t="shared" si="12"/>
        <v>1.0817208664616178</v>
      </c>
      <c r="AD46" s="7">
        <f t="shared" si="12"/>
        <v>1.0817208664616178</v>
      </c>
      <c r="AE46" s="7">
        <f t="shared" si="12"/>
        <v>1.0817208664616178</v>
      </c>
      <c r="AF46" s="7">
        <f t="shared" si="12"/>
        <v>1.0817208664616178</v>
      </c>
    </row>
    <row r="47" ht="11.25">
      <c r="A47" s="3" t="s">
        <v>107</v>
      </c>
    </row>
    <row r="48" ht="11.25">
      <c r="A48" s="3"/>
    </row>
    <row r="49" spans="1:32" ht="11.25">
      <c r="A49" t="s">
        <v>128</v>
      </c>
      <c r="J49" s="23">
        <f aca="true" t="shared" si="13" ref="J49:AF49">J46*J15*100/(2000*$G$16)</f>
        <v>0.17218341523341524</v>
      </c>
      <c r="K49" s="23">
        <f t="shared" si="13"/>
        <v>0.3415746669765588</v>
      </c>
      <c r="L49" s="23">
        <f t="shared" si="13"/>
        <v>0.5082077139745828</v>
      </c>
      <c r="M49" s="23">
        <f t="shared" si="13"/>
        <v>0.6721161478510699</v>
      </c>
      <c r="N49" s="23">
        <f t="shared" si="13"/>
        <v>0.8333331968288602</v>
      </c>
      <c r="O49" s="23">
        <f t="shared" si="13"/>
        <v>0.9918917294146758</v>
      </c>
      <c r="P49" s="23">
        <f t="shared" si="13"/>
        <v>1.1478242580478837</v>
      </c>
      <c r="Q49" s="23">
        <f t="shared" si="13"/>
        <v>1.3011629427137401</v>
      </c>
      <c r="R49" s="23">
        <f t="shared" si="13"/>
        <v>1.4519395945214475</v>
      </c>
      <c r="S49" s="23">
        <f t="shared" si="13"/>
        <v>1.6001856792473608</v>
      </c>
      <c r="T49" s="23">
        <f t="shared" si="13"/>
        <v>1.7459323208436743</v>
      </c>
      <c r="U49" s="23">
        <f t="shared" si="13"/>
        <v>1.8892103049129094</v>
      </c>
      <c r="V49" s="23">
        <f t="shared" si="13"/>
        <v>2.0300500821485343</v>
      </c>
      <c r="W49" s="23">
        <f t="shared" si="13"/>
        <v>2.168481771742031</v>
      </c>
      <c r="X49" s="23">
        <f t="shared" si="13"/>
        <v>2.3045351647567336</v>
      </c>
      <c r="Y49" s="23">
        <f t="shared" si="13"/>
        <v>2.438239727468746</v>
      </c>
      <c r="Z49" s="23">
        <f t="shared" si="13"/>
        <v>2.5696246046752544</v>
      </c>
      <c r="AA49" s="23">
        <f t="shared" si="13"/>
        <v>2.6987186229705453</v>
      </c>
      <c r="AB49" s="23">
        <f t="shared" si="13"/>
        <v>2.8255502939900317</v>
      </c>
      <c r="AC49" s="23">
        <f t="shared" si="13"/>
        <v>2.950147817622594</v>
      </c>
      <c r="AD49" s="23">
        <f t="shared" si="13"/>
        <v>2.950147817622594</v>
      </c>
      <c r="AE49" s="23">
        <f t="shared" si="13"/>
        <v>2.950147817622594</v>
      </c>
      <c r="AF49" s="23">
        <f t="shared" si="13"/>
        <v>2.950147817622594</v>
      </c>
    </row>
    <row r="50" spans="1:10" ht="11.25">
      <c r="A50" t="s">
        <v>186</v>
      </c>
      <c r="G50" s="17">
        <f>1-1/G38</f>
        <v>0.0575477148752096</v>
      </c>
      <c r="J50" s="3" t="s">
        <v>121</v>
      </c>
    </row>
    <row r="51" spans="1:32" ht="11.25">
      <c r="A51" t="s">
        <v>129</v>
      </c>
      <c r="G51" s="23"/>
      <c r="H51" t="s">
        <v>32</v>
      </c>
      <c r="I51" s="75"/>
      <c r="J51" s="7">
        <f aca="true" t="shared" si="14" ref="J51:AF51">J49/(1-$G$50)</f>
        <v>0.1826972229269054</v>
      </c>
      <c r="K51" s="7">
        <f t="shared" si="14"/>
        <v>0.36243178818472577</v>
      </c>
      <c r="L51" s="7">
        <f t="shared" si="14"/>
        <v>0.5392397280964636</v>
      </c>
      <c r="M51" s="7">
        <f t="shared" si="14"/>
        <v>0.7131566854464942</v>
      </c>
      <c r="N51" s="7">
        <f t="shared" si="14"/>
        <v>0.8842179174285925</v>
      </c>
      <c r="O51" s="7">
        <f t="shared" si="14"/>
        <v>1.0524582995555463</v>
      </c>
      <c r="P51" s="7">
        <f t="shared" si="14"/>
        <v>1.21791232953072</v>
      </c>
      <c r="Q51" s="7">
        <f t="shared" si="14"/>
        <v>1.3806141310819282</v>
      </c>
      <c r="R51" s="7">
        <f t="shared" si="14"/>
        <v>1.5405974577579762</v>
      </c>
      <c r="S51" s="7">
        <f t="shared" si="14"/>
        <v>1.6978956966882197</v>
      </c>
      <c r="T51" s="7">
        <f t="shared" si="14"/>
        <v>1.852541872305498</v>
      </c>
      <c r="U51" s="7">
        <f t="shared" si="14"/>
        <v>2.0045686500327795</v>
      </c>
      <c r="V51" s="7">
        <f t="shared" si="14"/>
        <v>2.1540083399338723</v>
      </c>
      <c r="W51" s="7">
        <f t="shared" si="14"/>
        <v>2.3008929003285314</v>
      </c>
      <c r="X51" s="7">
        <f t="shared" si="14"/>
        <v>2.4452539413723096</v>
      </c>
      <c r="Y51" s="7">
        <f t="shared" si="14"/>
        <v>2.587122728601478</v>
      </c>
      <c r="Z51" s="7">
        <f t="shared" si="14"/>
        <v>2.726530186443348</v>
      </c>
      <c r="AA51" s="7">
        <f t="shared" si="14"/>
        <v>2.8635069016923302</v>
      </c>
      <c r="AB51" s="7">
        <f t="shared" si="14"/>
        <v>2.9980831269520447</v>
      </c>
      <c r="AC51" s="7">
        <f t="shared" si="14"/>
        <v>3.130288784043814</v>
      </c>
      <c r="AD51" s="7">
        <f t="shared" si="14"/>
        <v>3.130288784043814</v>
      </c>
      <c r="AE51" s="7">
        <f t="shared" si="14"/>
        <v>3.130288784043814</v>
      </c>
      <c r="AF51" s="7">
        <f t="shared" si="14"/>
        <v>3.130288784043814</v>
      </c>
    </row>
    <row r="52" ht="11.25">
      <c r="A52" s="3"/>
    </row>
    <row r="53" spans="1:32" s="9" customFormat="1" ht="12">
      <c r="A53" s="9" t="s">
        <v>187</v>
      </c>
      <c r="G53" s="27"/>
      <c r="I53" s="76"/>
      <c r="J53" s="28">
        <f aca="true" t="shared" si="15" ref="J53:AF53">J117*J24</f>
        <v>5.406871497687879</v>
      </c>
      <c r="K53" s="28">
        <f t="shared" si="15"/>
        <v>16.25160592665828</v>
      </c>
      <c r="L53" s="28">
        <f t="shared" si="15"/>
        <v>32.5500749875416</v>
      </c>
      <c r="M53" s="28">
        <f t="shared" si="15"/>
        <v>54.30380912099784</v>
      </c>
      <c r="N53" s="28">
        <f t="shared" si="15"/>
        <v>81.50080293506443</v>
      </c>
      <c r="O53" s="28">
        <f t="shared" si="15"/>
        <v>114.11634043366003</v>
      </c>
      <c r="P53" s="28">
        <f t="shared" si="15"/>
        <v>152.11383338896619</v>
      </c>
      <c r="Q53" s="28">
        <f t="shared" si="15"/>
        <v>195.44566670065447</v>
      </c>
      <c r="R53" s="28">
        <f t="shared" si="15"/>
        <v>244.0540450847979</v>
      </c>
      <c r="S53" s="28">
        <f t="shared" si="15"/>
        <v>297.8718359303056</v>
      </c>
      <c r="T53" s="28">
        <f t="shared" si="15"/>
        <v>351.02368159608557</v>
      </c>
      <c r="U53" s="28">
        <f t="shared" si="15"/>
        <v>403.5826059509899</v>
      </c>
      <c r="V53" s="28">
        <f t="shared" si="15"/>
        <v>455.6160639720807</v>
      </c>
      <c r="W53" s="28">
        <f t="shared" si="15"/>
        <v>503.3304167432259</v>
      </c>
      <c r="X53" s="28">
        <f t="shared" si="15"/>
        <v>546.8300460965205</v>
      </c>
      <c r="Y53" s="28">
        <f t="shared" si="15"/>
        <v>586.1961684110254</v>
      </c>
      <c r="Z53" s="28">
        <f t="shared" si="15"/>
        <v>621.4885612019971</v>
      </c>
      <c r="AA53" s="28">
        <f t="shared" si="15"/>
        <v>652.7470327951013</v>
      </c>
      <c r="AB53" s="28">
        <f t="shared" si="15"/>
        <v>679.992668804707</v>
      </c>
      <c r="AC53" s="28">
        <f t="shared" si="15"/>
        <v>703.2288837808346</v>
      </c>
      <c r="AD53" s="28">
        <f t="shared" si="15"/>
        <v>722.4423019398697</v>
      </c>
      <c r="AE53" s="28">
        <f t="shared" si="15"/>
        <v>737.6034871819824</v>
      </c>
      <c r="AF53" s="28">
        <f t="shared" si="15"/>
        <v>748.6675394897121</v>
      </c>
    </row>
    <row r="54" spans="1:32" s="9" customFormat="1" ht="12">
      <c r="A54" s="9" t="s">
        <v>189</v>
      </c>
      <c r="I54" s="77">
        <f>I24</f>
        <v>3877.0247401199995</v>
      </c>
      <c r="J54" s="28">
        <f aca="true" t="shared" si="16" ref="J54:AF54">J24-J53</f>
        <v>3988.8009413924374</v>
      </c>
      <c r="K54" s="28">
        <f t="shared" si="16"/>
        <v>4037.869324156818</v>
      </c>
      <c r="L54" s="28">
        <f t="shared" si="16"/>
        <v>4082.3826690471865</v>
      </c>
      <c r="M54" s="28">
        <f t="shared" si="16"/>
        <v>4122.35292607425</v>
      </c>
      <c r="N54" s="28">
        <f t="shared" si="16"/>
        <v>4157.805783288112</v>
      </c>
      <c r="O54" s="28">
        <f t="shared" si="16"/>
        <v>4188.779844582863</v>
      </c>
      <c r="P54" s="28">
        <f t="shared" si="16"/>
        <v>4215.325794402805</v>
      </c>
      <c r="Q54" s="28">
        <f t="shared" si="16"/>
        <v>4237.5055555079925</v>
      </c>
      <c r="R54" s="28">
        <f t="shared" si="16"/>
        <v>4255.3914454569785</v>
      </c>
      <c r="S54" s="28">
        <f t="shared" si="16"/>
        <v>4269.0653369695965</v>
      </c>
      <c r="T54" s="28">
        <f t="shared" si="16"/>
        <v>4284.417548897315</v>
      </c>
      <c r="U54" s="28">
        <f t="shared" si="16"/>
        <v>4301.39024299981</v>
      </c>
      <c r="V54" s="28">
        <f t="shared" si="16"/>
        <v>4319.931377712981</v>
      </c>
      <c r="W54" s="28">
        <f t="shared" si="16"/>
        <v>4343.85023656711</v>
      </c>
      <c r="X54" s="28">
        <f t="shared" si="16"/>
        <v>4373.0583170134705</v>
      </c>
      <c r="Y54" s="28">
        <f t="shared" si="16"/>
        <v>4407.490520145614</v>
      </c>
      <c r="Z54" s="28">
        <f t="shared" si="16"/>
        <v>4447.103427682991</v>
      </c>
      <c r="AA54" s="28">
        <f t="shared" si="16"/>
        <v>4491.873835923162</v>
      </c>
      <c r="AB54" s="28">
        <f t="shared" si="16"/>
        <v>4541.797512944329</v>
      </c>
      <c r="AC54" s="28">
        <f t="shared" si="16"/>
        <v>4596.888150694436</v>
      </c>
      <c r="AD54" s="28">
        <f t="shared" si="16"/>
        <v>4657.176488052529</v>
      </c>
      <c r="AE54" s="28">
        <f t="shared" si="16"/>
        <v>4722.709584660302</v>
      </c>
      <c r="AF54" s="28">
        <f t="shared" si="16"/>
        <v>4793.5502284302065</v>
      </c>
    </row>
    <row r="55" spans="1:32" s="9" customFormat="1" ht="12">
      <c r="A55" s="9" t="s">
        <v>188</v>
      </c>
      <c r="I55" s="77">
        <f aca="true" t="shared" si="17" ref="I55:AF55">I54*$G$38</f>
        <v>4113.76236369</v>
      </c>
      <c r="J55" s="28">
        <f t="shared" si="17"/>
        <v>4232.363807006186</v>
      </c>
      <c r="K55" s="28">
        <f t="shared" si="17"/>
        <v>4284.428387398056</v>
      </c>
      <c r="L55" s="28">
        <f t="shared" si="17"/>
        <v>4331.659791674903</v>
      </c>
      <c r="M55" s="28">
        <f t="shared" si="17"/>
        <v>4374.070699535105</v>
      </c>
      <c r="N55" s="28">
        <f t="shared" si="17"/>
        <v>4411.688367584123</v>
      </c>
      <c r="O55" s="28">
        <f t="shared" si="17"/>
        <v>4444.55375693447</v>
      </c>
      <c r="P55" s="28">
        <f t="shared" si="17"/>
        <v>4472.720646907501</v>
      </c>
      <c r="Q55" s="28">
        <f t="shared" si="17"/>
        <v>4496.254741370703</v>
      </c>
      <c r="R55" s="28">
        <f t="shared" si="17"/>
        <v>4515.232773713866</v>
      </c>
      <c r="S55" s="28">
        <f t="shared" si="17"/>
        <v>4529.74161594221</v>
      </c>
      <c r="T55" s="28">
        <f t="shared" si="17"/>
        <v>4546.031259640921</v>
      </c>
      <c r="U55" s="28">
        <f t="shared" si="17"/>
        <v>4564.040334869856</v>
      </c>
      <c r="V55" s="28">
        <f t="shared" si="17"/>
        <v>4583.713622319859</v>
      </c>
      <c r="W55" s="28">
        <f t="shared" si="17"/>
        <v>4609.093006753058</v>
      </c>
      <c r="X55" s="28">
        <f t="shared" si="17"/>
        <v>4640.084581506885</v>
      </c>
      <c r="Y55" s="28">
        <f t="shared" si="17"/>
        <v>4676.619272626643</v>
      </c>
      <c r="Z55" s="28">
        <f t="shared" si="17"/>
        <v>4718.651010638856</v>
      </c>
      <c r="AA55" s="28">
        <f t="shared" si="17"/>
        <v>4766.155174984155</v>
      </c>
      <c r="AB55" s="28">
        <f t="shared" si="17"/>
        <v>4819.12727533251</v>
      </c>
      <c r="AC55" s="28">
        <f t="shared" si="17"/>
        <v>4877.581839685137</v>
      </c>
      <c r="AD55" s="28">
        <f t="shared" si="17"/>
        <v>4941.551483888514</v>
      </c>
      <c r="AE55" s="28">
        <f t="shared" si="17"/>
        <v>5011.086141124871</v>
      </c>
      <c r="AF55" s="28">
        <f t="shared" si="17"/>
        <v>5086.252433241743</v>
      </c>
    </row>
    <row r="56" spans="1:32" s="9" customFormat="1" ht="12">
      <c r="A56" s="9" t="s">
        <v>50</v>
      </c>
      <c r="G56" s="27"/>
      <c r="I56" s="78">
        <f>I55*I34*1000000/($G$17*1000)</f>
        <v>2374.9748249330473</v>
      </c>
      <c r="J56" s="29">
        <f>J55*J46*1000000/($G$17*1000)</f>
        <v>2423.6345889060817</v>
      </c>
      <c r="K56" s="29">
        <f aca="true" t="shared" si="18" ref="K56:AF56">K55*K46*1000000/($G$17*1000)</f>
        <v>2433.5561898283395</v>
      </c>
      <c r="L56" s="29">
        <f t="shared" si="18"/>
        <v>2440.434580485757</v>
      </c>
      <c r="M56" s="29">
        <f t="shared" si="18"/>
        <v>2444.3476219952727</v>
      </c>
      <c r="N56" s="29">
        <f t="shared" si="18"/>
        <v>2445.379898925914</v>
      </c>
      <c r="O56" s="29">
        <f t="shared" si="18"/>
        <v>2443.6219318147887</v>
      </c>
      <c r="P56" s="29">
        <f t="shared" si="18"/>
        <v>2439.1694131481518</v>
      </c>
      <c r="Q56" s="29">
        <f t="shared" si="18"/>
        <v>2432.122469962117</v>
      </c>
      <c r="R56" s="29">
        <f t="shared" si="18"/>
        <v>2422.584955706615</v>
      </c>
      <c r="S56" s="29">
        <f t="shared" si="18"/>
        <v>2410.663773537014</v>
      </c>
      <c r="T56" s="29">
        <f t="shared" si="18"/>
        <v>2399.7166765752877</v>
      </c>
      <c r="U56" s="29">
        <f t="shared" si="18"/>
        <v>2389.688897944502</v>
      </c>
      <c r="V56" s="29">
        <f t="shared" si="18"/>
        <v>2380.5302720133413</v>
      </c>
      <c r="W56" s="29">
        <f t="shared" si="18"/>
        <v>2374.302469786944</v>
      </c>
      <c r="X56" s="29">
        <f t="shared" si="18"/>
        <v>2370.886751137509</v>
      </c>
      <c r="Y56" s="29">
        <f t="shared" si="18"/>
        <v>2370.179665691742</v>
      </c>
      <c r="Z56" s="29">
        <f t="shared" si="18"/>
        <v>2372.0915764696447</v>
      </c>
      <c r="AA56" s="29">
        <f t="shared" si="18"/>
        <v>2376.5453773019053</v>
      </c>
      <c r="AB56" s="29">
        <f t="shared" si="18"/>
        <v>2383.4753771015266</v>
      </c>
      <c r="AC56" s="29">
        <f t="shared" si="18"/>
        <v>2392.826328281931</v>
      </c>
      <c r="AD56" s="29">
        <f t="shared" si="18"/>
        <v>2424.2083232728237</v>
      </c>
      <c r="AE56" s="29">
        <f t="shared" si="18"/>
        <v>2458.3203820822673</v>
      </c>
      <c r="AF56" s="29">
        <f t="shared" si="18"/>
        <v>2495.1951878135014</v>
      </c>
    </row>
    <row r="57" spans="1:32" s="9" customFormat="1" ht="12">
      <c r="A57" s="9" t="s">
        <v>56</v>
      </c>
      <c r="G57" s="27"/>
      <c r="I57" s="78">
        <f aca="true" t="shared" si="19" ref="I57:AF57">I40-I56</f>
        <v>0</v>
      </c>
      <c r="J57" s="29">
        <f t="shared" si="19"/>
        <v>23.12385011056631</v>
      </c>
      <c r="K57" s="29">
        <f t="shared" si="19"/>
        <v>49.90362577355745</v>
      </c>
      <c r="L57" s="29">
        <f t="shared" si="19"/>
        <v>80.2771323501679</v>
      </c>
      <c r="M57" s="29">
        <f t="shared" si="19"/>
        <v>114.17476653319136</v>
      </c>
      <c r="N57" s="29">
        <f t="shared" si="19"/>
        <v>151.520325430477</v>
      </c>
      <c r="O57" s="29">
        <f t="shared" si="19"/>
        <v>192.23179590694735</v>
      </c>
      <c r="P57" s="29">
        <f t="shared" si="19"/>
        <v>236.22212048940992</v>
      </c>
      <c r="Q57" s="29">
        <f t="shared" si="19"/>
        <v>283.3999366800076</v>
      </c>
      <c r="R57" s="29">
        <f t="shared" si="19"/>
        <v>333.6702870351414</v>
      </c>
      <c r="S57" s="29">
        <f t="shared" si="19"/>
        <v>386.93529784586826</v>
      </c>
      <c r="T57" s="29">
        <f t="shared" si="19"/>
        <v>439.8463808783381</v>
      </c>
      <c r="U57" s="29">
        <f t="shared" si="19"/>
        <v>492.4676053709268</v>
      </c>
      <c r="V57" s="29">
        <f t="shared" si="19"/>
        <v>544.858578851819</v>
      </c>
      <c r="W57" s="29">
        <f t="shared" si="19"/>
        <v>594.9672138411929</v>
      </c>
      <c r="X57" s="29">
        <f t="shared" si="19"/>
        <v>642.9219777450498</v>
      </c>
      <c r="Y57" s="29">
        <f t="shared" si="19"/>
        <v>688.8361941240541</v>
      </c>
      <c r="Z57" s="29">
        <f t="shared" si="19"/>
        <v>732.8095212433882</v>
      </c>
      <c r="AA57" s="29">
        <f t="shared" si="19"/>
        <v>774.9292368768233</v>
      </c>
      <c r="AB57" s="29">
        <f t="shared" si="19"/>
        <v>815.2713562898821</v>
      </c>
      <c r="AC57" s="29">
        <f t="shared" si="19"/>
        <v>853.901606110348</v>
      </c>
      <c r="AD57" s="29">
        <f t="shared" si="19"/>
        <v>871.2205301353388</v>
      </c>
      <c r="AE57" s="29">
        <f t="shared" si="19"/>
        <v>886.5399041270175</v>
      </c>
      <c r="AF57" s="29">
        <f t="shared" si="19"/>
        <v>899.8380026889226</v>
      </c>
    </row>
    <row r="58" spans="1:33" s="9" customFormat="1" ht="12">
      <c r="A58" s="9" t="s">
        <v>242</v>
      </c>
      <c r="G58" s="27"/>
      <c r="I58" s="78"/>
      <c r="J58" s="29">
        <f>$J$40-J56</f>
        <v>23.12385011056631</v>
      </c>
      <c r="K58" s="29">
        <f>$J$40-K56</f>
        <v>13.202249188308542</v>
      </c>
      <c r="L58" s="29">
        <f>$J$40-L56</f>
        <v>6.323858530890902</v>
      </c>
      <c r="M58" s="29">
        <f>$J$40-M56</f>
        <v>2.410817021375351</v>
      </c>
      <c r="N58" s="29">
        <f>$J$40-N56</f>
        <v>1.3785400907340772</v>
      </c>
      <c r="O58" s="29">
        <f>$J$40-O56</f>
        <v>3.136507201859331</v>
      </c>
      <c r="P58" s="29">
        <f>$J$40-P56</f>
        <v>7.589025868496265</v>
      </c>
      <c r="Q58" s="29">
        <f>$J$40-Q56</f>
        <v>14.63596905453096</v>
      </c>
      <c r="R58" s="29">
        <f>$J$40-R56</f>
        <v>24.173483310033134</v>
      </c>
      <c r="S58" s="29">
        <f>$J$40-S56</f>
        <v>36.09466547963393</v>
      </c>
      <c r="T58" s="29">
        <f>$J$40-T56</f>
        <v>47.04176244136033</v>
      </c>
      <c r="U58" s="29">
        <f>$J$40-U56</f>
        <v>57.06954107214597</v>
      </c>
      <c r="V58" s="29">
        <f>$J$40-V56</f>
        <v>66.22816700330668</v>
      </c>
      <c r="W58" s="29">
        <f>$J$40-W56</f>
        <v>72.4559692297039</v>
      </c>
      <c r="X58" s="29">
        <f>$J$40-X56</f>
        <v>75.87168787913924</v>
      </c>
      <c r="Y58" s="29">
        <f>$J$40-Y56</f>
        <v>76.57877332490625</v>
      </c>
      <c r="Z58" s="29">
        <f>$J$40-Z56</f>
        <v>74.66686254700335</v>
      </c>
      <c r="AA58" s="29">
        <f>$J$40-AA56</f>
        <v>70.21306171474271</v>
      </c>
      <c r="AB58" s="29">
        <f>$J$40-AB56</f>
        <v>63.28306191512138</v>
      </c>
      <c r="AC58" s="29">
        <f>$J$40-AC56</f>
        <v>53.932110734716844</v>
      </c>
      <c r="AD58" s="29">
        <f>$J$40-AD56</f>
        <v>22.550115743824335</v>
      </c>
      <c r="AE58" s="29">
        <f>$J$40-AE56</f>
        <v>-11.561943065619289</v>
      </c>
      <c r="AF58" s="29">
        <f>$J$40-AF56</f>
        <v>-48.43674879685341</v>
      </c>
      <c r="AG58" s="29"/>
    </row>
    <row r="59" spans="1:33" s="9" customFormat="1" ht="12">
      <c r="A59" s="9" t="s">
        <v>55</v>
      </c>
      <c r="G59" s="27"/>
      <c r="I59" s="78"/>
      <c r="J59" s="133">
        <f aca="true" t="shared" si="20" ref="J59:AF59">J56*$G$17*1000000*J15/($G$16*2000*1000000)</f>
        <v>7287.428548006242</v>
      </c>
      <c r="K59" s="133">
        <f t="shared" si="20"/>
        <v>14634.52199610406</v>
      </c>
      <c r="L59" s="133">
        <f t="shared" si="20"/>
        <v>22013.829204427206</v>
      </c>
      <c r="M59" s="133">
        <f t="shared" si="20"/>
        <v>29398.83548999769</v>
      </c>
      <c r="N59" s="133">
        <f t="shared" si="20"/>
        <v>36764.06370771572</v>
      </c>
      <c r="O59" s="133">
        <f t="shared" si="20"/>
        <v>44085.16112442226</v>
      </c>
      <c r="P59" s="133">
        <f t="shared" si="20"/>
        <v>51338.97257992053</v>
      </c>
      <c r="Q59" s="133">
        <f t="shared" si="20"/>
        <v>58503.60050472511</v>
      </c>
      <c r="R59" s="133">
        <f t="shared" si="20"/>
        <v>65558.4524263606</v>
      </c>
      <c r="S59" s="133">
        <f t="shared" si="20"/>
        <v>72484.27664521523</v>
      </c>
      <c r="T59" s="133">
        <f t="shared" si="20"/>
        <v>79370.62907772764</v>
      </c>
      <c r="U59" s="133">
        <f t="shared" si="20"/>
        <v>86224.32032674299</v>
      </c>
      <c r="V59" s="133">
        <f t="shared" si="20"/>
        <v>93051.68215535788</v>
      </c>
      <c r="W59" s="133">
        <f t="shared" si="20"/>
        <v>99947.34169407678</v>
      </c>
      <c r="X59" s="133">
        <f t="shared" si="20"/>
        <v>106932.3808552815</v>
      </c>
      <c r="Y59" s="133">
        <f t="shared" si="20"/>
        <v>114027.18900764271</v>
      </c>
      <c r="Z59" s="133">
        <f t="shared" si="20"/>
        <v>121251.61737813358</v>
      </c>
      <c r="AA59" s="133">
        <f t="shared" si="20"/>
        <v>128625.11730697176</v>
      </c>
      <c r="AB59" s="133">
        <f t="shared" si="20"/>
        <v>136166.86489591154</v>
      </c>
      <c r="AC59" s="133">
        <f t="shared" si="20"/>
        <v>143895.87419622706</v>
      </c>
      <c r="AD59" s="133">
        <f t="shared" si="20"/>
        <v>145783.0732586339</v>
      </c>
      <c r="AE59" s="133">
        <f t="shared" si="20"/>
        <v>147834.44843158362</v>
      </c>
      <c r="AF59" s="133">
        <f t="shared" si="20"/>
        <v>150051.9651580574</v>
      </c>
      <c r="AG59" s="28"/>
    </row>
    <row r="61" spans="1:32" ht="11.25">
      <c r="A61" t="s">
        <v>48</v>
      </c>
      <c r="G61" s="6"/>
      <c r="J61" s="16">
        <f aca="true" t="shared" si="21" ref="J61:AF61">J20/I20-1</f>
        <v>0.0195398099387063</v>
      </c>
      <c r="K61" s="16">
        <f t="shared" si="21"/>
        <v>0.018854534142293433</v>
      </c>
      <c r="L61" s="16">
        <f t="shared" si="21"/>
        <v>0.018204291547954776</v>
      </c>
      <c r="M61" s="16">
        <f t="shared" si="21"/>
        <v>0.01758648411120145</v>
      </c>
      <c r="N61" s="16">
        <f t="shared" si="21"/>
        <v>0.01699876463510619</v>
      </c>
      <c r="O61" s="16">
        <f t="shared" si="21"/>
        <v>0.016439007209377854</v>
      </c>
      <c r="P61" s="16">
        <f t="shared" si="21"/>
        <v>0.015905281733476606</v>
      </c>
      <c r="Q61" s="16">
        <f t="shared" si="21"/>
        <v>0.01539583188030047</v>
      </c>
      <c r="R61" s="16">
        <f t="shared" si="21"/>
        <v>0.014909055970305118</v>
      </c>
      <c r="S61" s="16">
        <f t="shared" si="21"/>
        <v>0.01444349031725456</v>
      </c>
      <c r="T61" s="16">
        <f t="shared" si="21"/>
        <v>0.01399779468081297</v>
      </c>
      <c r="U61" s="16">
        <f t="shared" si="21"/>
        <v>0.013570739521457709</v>
      </c>
      <c r="V61" s="16">
        <f t="shared" si="21"/>
        <v>0.013161194802469467</v>
      </c>
      <c r="W61" s="16">
        <f t="shared" si="21"/>
        <v>0.012768120124250881</v>
      </c>
      <c r="X61" s="16">
        <f t="shared" si="21"/>
        <v>0.012390556009634901</v>
      </c>
      <c r="Y61" s="16">
        <f t="shared" si="21"/>
        <v>0.012027616186503609</v>
      </c>
      <c r="Z61" s="16">
        <f t="shared" si="21"/>
        <v>0.011678480737058017</v>
      </c>
      <c r="AA61" s="16">
        <f t="shared" si="21"/>
        <v>0.011342390002282876</v>
      </c>
      <c r="AB61" s="16">
        <f t="shared" si="21"/>
        <v>0.011018639146228137</v>
      </c>
      <c r="AC61" s="16">
        <f t="shared" si="21"/>
        <v>0.010706573298264077</v>
      </c>
      <c r="AD61" s="16">
        <f t="shared" si="21"/>
        <v>0</v>
      </c>
      <c r="AE61" s="16">
        <f t="shared" si="21"/>
        <v>0</v>
      </c>
      <c r="AF61" s="16">
        <f t="shared" si="21"/>
        <v>0</v>
      </c>
    </row>
    <row r="63" spans="1:7" ht="11.25">
      <c r="A63" s="101" t="s">
        <v>41</v>
      </c>
      <c r="G63" s="101">
        <v>0.7</v>
      </c>
    </row>
    <row r="64" spans="1:22" ht="11.25">
      <c r="A64" s="137" t="s">
        <v>15</v>
      </c>
      <c r="B64" s="138"/>
      <c r="C64" s="138"/>
      <c r="D64" s="138"/>
      <c r="E64" s="138"/>
      <c r="F64" s="138"/>
      <c r="G64" s="138"/>
      <c r="H64" s="138"/>
      <c r="I64" s="138"/>
      <c r="J64" s="138"/>
      <c r="K64" s="138"/>
      <c r="L64" s="150" t="s">
        <v>16</v>
      </c>
      <c r="M64" s="138"/>
      <c r="N64" s="138"/>
      <c r="O64" s="138"/>
      <c r="P64" s="138"/>
      <c r="Q64" s="138"/>
      <c r="R64" s="138"/>
      <c r="S64" s="138"/>
      <c r="T64" s="138"/>
      <c r="U64" s="138"/>
      <c r="V64" s="138"/>
    </row>
    <row r="65" spans="1:22" ht="11.25">
      <c r="A65" s="138"/>
      <c r="B65" s="138"/>
      <c r="C65" s="138"/>
      <c r="D65" s="138"/>
      <c r="E65" s="138"/>
      <c r="F65" s="138"/>
      <c r="G65" s="138"/>
      <c r="H65" s="138"/>
      <c r="I65" s="138"/>
      <c r="J65" s="138"/>
      <c r="K65" s="138"/>
      <c r="L65" s="138"/>
      <c r="M65" s="138"/>
      <c r="N65" s="138"/>
      <c r="O65" s="138"/>
      <c r="P65" s="138"/>
      <c r="Q65" s="138"/>
      <c r="R65" s="138"/>
      <c r="S65" s="138"/>
      <c r="T65" s="138"/>
      <c r="U65" s="138"/>
      <c r="V65" s="138"/>
    </row>
    <row r="66" spans="1:22" ht="11.25">
      <c r="A66" s="101" t="s">
        <v>58</v>
      </c>
      <c r="G66" s="100">
        <v>10</v>
      </c>
      <c r="H66" s="3" t="s">
        <v>17</v>
      </c>
      <c r="L66" s="138"/>
      <c r="M66" s="138"/>
      <c r="N66" s="138"/>
      <c r="O66" s="138"/>
      <c r="P66" s="138"/>
      <c r="Q66" s="138"/>
      <c r="R66" s="138"/>
      <c r="S66" s="138"/>
      <c r="T66" s="138"/>
      <c r="U66" s="138"/>
      <c r="V66" s="138"/>
    </row>
    <row r="67" spans="1:22" s="114" customFormat="1" ht="11.25">
      <c r="A67" s="114" t="s">
        <v>45</v>
      </c>
      <c r="G67" s="114">
        <f>J7</f>
        <v>2008</v>
      </c>
      <c r="I67" s="118"/>
      <c r="L67" s="138"/>
      <c r="M67" s="138"/>
      <c r="N67" s="138"/>
      <c r="O67" s="138"/>
      <c r="P67" s="138"/>
      <c r="Q67" s="138"/>
      <c r="R67" s="138"/>
      <c r="S67" s="138"/>
      <c r="T67" s="138"/>
      <c r="U67" s="138"/>
      <c r="V67" s="138"/>
    </row>
    <row r="69" spans="1:32" s="6" customFormat="1" ht="11.25">
      <c r="A69" s="30" t="s">
        <v>112</v>
      </c>
      <c r="G69">
        <f>G67</f>
        <v>2008</v>
      </c>
      <c r="I69" s="80"/>
      <c r="J69" s="6">
        <f>IF(J7&gt;=Summary!$H$67+$G$66,$G$63,((J7-$G$67+1)/$G$66)*$G$63)</f>
        <v>0.06999999999999999</v>
      </c>
      <c r="K69" s="6">
        <f>IF(K7&gt;=Summary!$H$67+$G$66,$G$63,((K7-$G$67+1)/$G$66)*$G$63)</f>
        <v>0.13999999999999999</v>
      </c>
      <c r="L69" s="6">
        <f>IF(L7&gt;=Summary!$H$67+$G$66,$G$63,((L7-$G$67+1)/$G$66)*$G$63)</f>
        <v>0.21</v>
      </c>
      <c r="M69" s="6">
        <f>IF(M7&gt;=Summary!$H$67+$G$66,$G$63,((M7-$G$67+1)/$G$66)*$G$63)</f>
        <v>0.27999999999999997</v>
      </c>
      <c r="N69" s="6">
        <f>IF(N7&gt;=Summary!$H$67+$G$66,$G$63,((N7-$G$67+1)/$G$66)*$G$63)</f>
        <v>0.35</v>
      </c>
      <c r="O69" s="6">
        <f>IF(O7&gt;=Summary!$H$67+$G$66,$G$63,((O7-$G$67+1)/$G$66)*$G$63)</f>
        <v>0.42</v>
      </c>
      <c r="P69" s="6">
        <f>IF(P7&gt;=Summary!$H$67+$G$66,$G$63,((P7-$G$67+1)/$G$66)*$G$63)</f>
        <v>0.48999999999999994</v>
      </c>
      <c r="Q69" s="6">
        <f>IF(Q7&gt;=Summary!$H$67+$G$66,$G$63,((Q7-$G$67+1)/$G$66)*$G$63)</f>
        <v>0.5599999999999999</v>
      </c>
      <c r="R69" s="6">
        <f>IF(R7&gt;=Summary!$H$67+$G$66,$G$63,((R7-$G$67+1)/$G$66)*$G$63)</f>
        <v>0.63</v>
      </c>
      <c r="S69" s="6">
        <f>IF(S7&gt;=Summary!$H$67+$G$66,$G$63,((S7-$G$67+1)/$G$66)*$G$63)</f>
        <v>0.7</v>
      </c>
      <c r="T69" s="6">
        <f>IF(T7&gt;=Summary!$H$67+$G$66,$G$63,((T7-$G$67+1)/$G$66)*$G$63)</f>
        <v>0.7</v>
      </c>
      <c r="U69" s="6">
        <f>IF(U7&gt;=Summary!$H$67+$G$66,$G$63,((U7-$G$67+1)/$G$66)*$G$63)</f>
        <v>0.7</v>
      </c>
      <c r="V69" s="6">
        <f>IF(V7&gt;=Summary!$H$67+$G$66,$G$63,((V7-$G$67+1)/$G$66)*$G$63)</f>
        <v>0.7</v>
      </c>
      <c r="W69" s="6">
        <f>IF(W7&gt;=Summary!$H$67+$G$66,$G$63,((W7-$G$67+1)/$G$66)*$G$63)</f>
        <v>0.7</v>
      </c>
      <c r="X69" s="6">
        <f>IF(X7&gt;=Summary!$H$67+$G$66,$G$63,((X7-$G$67+1)/$G$66)*$G$63)</f>
        <v>0.7</v>
      </c>
      <c r="Y69" s="6">
        <f>IF(Y7&gt;=Summary!$H$67+$G$66,$G$63,((Y7-$G$67+1)/$G$66)*$G$63)</f>
        <v>0.7</v>
      </c>
      <c r="Z69" s="6">
        <f>IF(Z7&gt;=Summary!$H$67+$G$66,$G$63,((Z7-$G$67+1)/$G$66)*$G$63)</f>
        <v>0.7</v>
      </c>
      <c r="AA69" s="6">
        <f>IF(AA7&gt;=Summary!$H$67+$G$66,$G$63,((AA7-$G$67+1)/$G$66)*$G$63)</f>
        <v>0.7</v>
      </c>
      <c r="AB69" s="6">
        <f>IF(AB7&gt;=Summary!$H$67+$G$66,$G$63,((AB7-$G$67+1)/$G$66)*$G$63)</f>
        <v>0.7</v>
      </c>
      <c r="AC69" s="6">
        <f>IF(AC7&gt;=Summary!$H$67+$G$66,$G$63,((AC7-$G$67+1)/$G$66)*$G$63)</f>
        <v>0.7</v>
      </c>
      <c r="AD69" s="6">
        <f>IF(AD7&gt;=Summary!$H$67+$G$66,$G$63,((AD7-$G$67+1)/$G$66)*$G$63)</f>
        <v>0.7</v>
      </c>
      <c r="AE69" s="6">
        <f>IF(AE7&gt;=Summary!$H$67+$G$66,$G$63,((AE7-$G$67+1)/$G$66)*$G$63)</f>
        <v>0.7</v>
      </c>
      <c r="AF69" s="6">
        <f>IF(AF7&gt;=Summary!$H$67+$G$66,$G$63,((AF7-$G$67+1)/$G$66)*$G$63)</f>
        <v>0.7</v>
      </c>
    </row>
    <row r="70" spans="1:32" s="6" customFormat="1" ht="11.25">
      <c r="A70" s="30" t="s">
        <v>112</v>
      </c>
      <c r="G70">
        <f aca="true" t="shared" si="22" ref="G70:G81">G69+1</f>
        <v>2009</v>
      </c>
      <c r="I70" s="80"/>
      <c r="K70" s="6">
        <f aca="true" t="shared" si="23" ref="K70:AF70">J69</f>
        <v>0.06999999999999999</v>
      </c>
      <c r="L70" s="6">
        <f t="shared" si="23"/>
        <v>0.13999999999999999</v>
      </c>
      <c r="M70" s="6">
        <f t="shared" si="23"/>
        <v>0.21</v>
      </c>
      <c r="N70" s="6">
        <f t="shared" si="23"/>
        <v>0.27999999999999997</v>
      </c>
      <c r="O70" s="6">
        <f t="shared" si="23"/>
        <v>0.35</v>
      </c>
      <c r="P70" s="6">
        <f t="shared" si="23"/>
        <v>0.42</v>
      </c>
      <c r="Q70" s="6">
        <f t="shared" si="23"/>
        <v>0.48999999999999994</v>
      </c>
      <c r="R70" s="6">
        <f t="shared" si="23"/>
        <v>0.5599999999999999</v>
      </c>
      <c r="S70" s="6">
        <f t="shared" si="23"/>
        <v>0.63</v>
      </c>
      <c r="T70" s="6">
        <f t="shared" si="23"/>
        <v>0.7</v>
      </c>
      <c r="U70" s="6">
        <f t="shared" si="23"/>
        <v>0.7</v>
      </c>
      <c r="V70" s="6">
        <f t="shared" si="23"/>
        <v>0.7</v>
      </c>
      <c r="W70" s="6">
        <f t="shared" si="23"/>
        <v>0.7</v>
      </c>
      <c r="X70" s="6">
        <f t="shared" si="23"/>
        <v>0.7</v>
      </c>
      <c r="Y70" s="6">
        <f t="shared" si="23"/>
        <v>0.7</v>
      </c>
      <c r="Z70" s="6">
        <f t="shared" si="23"/>
        <v>0.7</v>
      </c>
      <c r="AA70" s="6">
        <f t="shared" si="23"/>
        <v>0.7</v>
      </c>
      <c r="AB70" s="6">
        <f t="shared" si="23"/>
        <v>0.7</v>
      </c>
      <c r="AC70" s="6">
        <f t="shared" si="23"/>
        <v>0.7</v>
      </c>
      <c r="AD70" s="6">
        <f t="shared" si="23"/>
        <v>0.7</v>
      </c>
      <c r="AE70" s="6">
        <f t="shared" si="23"/>
        <v>0.7</v>
      </c>
      <c r="AF70" s="6">
        <f t="shared" si="23"/>
        <v>0.7</v>
      </c>
    </row>
    <row r="71" spans="1:32" s="6" customFormat="1" ht="11.25">
      <c r="A71" s="30" t="s">
        <v>112</v>
      </c>
      <c r="G71">
        <f t="shared" si="22"/>
        <v>2010</v>
      </c>
      <c r="I71" s="80"/>
      <c r="L71" s="6">
        <f aca="true" t="shared" si="24" ref="L71:AF71">K70</f>
        <v>0.06999999999999999</v>
      </c>
      <c r="M71" s="6">
        <f t="shared" si="24"/>
        <v>0.13999999999999999</v>
      </c>
      <c r="N71" s="6">
        <f t="shared" si="24"/>
        <v>0.21</v>
      </c>
      <c r="O71" s="6">
        <f t="shared" si="24"/>
        <v>0.27999999999999997</v>
      </c>
      <c r="P71" s="6">
        <f t="shared" si="24"/>
        <v>0.35</v>
      </c>
      <c r="Q71" s="6">
        <f t="shared" si="24"/>
        <v>0.42</v>
      </c>
      <c r="R71" s="6">
        <f t="shared" si="24"/>
        <v>0.48999999999999994</v>
      </c>
      <c r="S71" s="6">
        <f t="shared" si="24"/>
        <v>0.5599999999999999</v>
      </c>
      <c r="T71" s="6">
        <f t="shared" si="24"/>
        <v>0.63</v>
      </c>
      <c r="U71" s="6">
        <f t="shared" si="24"/>
        <v>0.7</v>
      </c>
      <c r="V71" s="6">
        <f t="shared" si="24"/>
        <v>0.7</v>
      </c>
      <c r="W71" s="6">
        <f t="shared" si="24"/>
        <v>0.7</v>
      </c>
      <c r="X71" s="6">
        <f t="shared" si="24"/>
        <v>0.7</v>
      </c>
      <c r="Y71" s="6">
        <f t="shared" si="24"/>
        <v>0.7</v>
      </c>
      <c r="Z71" s="6">
        <f t="shared" si="24"/>
        <v>0.7</v>
      </c>
      <c r="AA71" s="6">
        <f t="shared" si="24"/>
        <v>0.7</v>
      </c>
      <c r="AB71" s="6">
        <f t="shared" si="24"/>
        <v>0.7</v>
      </c>
      <c r="AC71" s="6">
        <f t="shared" si="24"/>
        <v>0.7</v>
      </c>
      <c r="AD71" s="6">
        <f t="shared" si="24"/>
        <v>0.7</v>
      </c>
      <c r="AE71" s="6">
        <f t="shared" si="24"/>
        <v>0.7</v>
      </c>
      <c r="AF71" s="6">
        <f t="shared" si="24"/>
        <v>0.7</v>
      </c>
    </row>
    <row r="72" spans="1:32" s="6" customFormat="1" ht="11.25">
      <c r="A72" s="30" t="s">
        <v>112</v>
      </c>
      <c r="G72">
        <f t="shared" si="22"/>
        <v>2011</v>
      </c>
      <c r="H72"/>
      <c r="I72" s="80"/>
      <c r="M72" s="6">
        <f>L71</f>
        <v>0.06999999999999999</v>
      </c>
      <c r="N72" s="6">
        <f aca="true" t="shared" si="25" ref="N72:AF81">M71</f>
        <v>0.13999999999999999</v>
      </c>
      <c r="O72" s="6">
        <f t="shared" si="25"/>
        <v>0.21</v>
      </c>
      <c r="P72" s="6">
        <f t="shared" si="25"/>
        <v>0.27999999999999997</v>
      </c>
      <c r="Q72" s="6">
        <f t="shared" si="25"/>
        <v>0.35</v>
      </c>
      <c r="R72" s="6">
        <f t="shared" si="25"/>
        <v>0.42</v>
      </c>
      <c r="S72" s="6">
        <f t="shared" si="25"/>
        <v>0.48999999999999994</v>
      </c>
      <c r="T72" s="6">
        <f t="shared" si="25"/>
        <v>0.5599999999999999</v>
      </c>
      <c r="U72" s="6">
        <f t="shared" si="25"/>
        <v>0.63</v>
      </c>
      <c r="V72" s="6">
        <f t="shared" si="25"/>
        <v>0.7</v>
      </c>
      <c r="W72" s="6">
        <f t="shared" si="25"/>
        <v>0.7</v>
      </c>
      <c r="X72" s="6">
        <f t="shared" si="25"/>
        <v>0.7</v>
      </c>
      <c r="Y72" s="6">
        <f t="shared" si="25"/>
        <v>0.7</v>
      </c>
      <c r="Z72" s="6">
        <f t="shared" si="25"/>
        <v>0.7</v>
      </c>
      <c r="AA72" s="6">
        <f t="shared" si="25"/>
        <v>0.7</v>
      </c>
      <c r="AB72" s="6">
        <f t="shared" si="25"/>
        <v>0.7</v>
      </c>
      <c r="AC72" s="6">
        <f t="shared" si="25"/>
        <v>0.7</v>
      </c>
      <c r="AD72" s="6">
        <f t="shared" si="25"/>
        <v>0.7</v>
      </c>
      <c r="AE72" s="6">
        <f t="shared" si="25"/>
        <v>0.7</v>
      </c>
      <c r="AF72" s="6">
        <f t="shared" si="25"/>
        <v>0.7</v>
      </c>
    </row>
    <row r="73" spans="1:32" s="6" customFormat="1" ht="11.25">
      <c r="A73" s="30" t="s">
        <v>112</v>
      </c>
      <c r="G73">
        <f t="shared" si="22"/>
        <v>2012</v>
      </c>
      <c r="H73"/>
      <c r="I73" s="80"/>
      <c r="N73" s="6">
        <f>M72</f>
        <v>0.06999999999999999</v>
      </c>
      <c r="O73" s="6">
        <f t="shared" si="25"/>
        <v>0.13999999999999999</v>
      </c>
      <c r="P73" s="6">
        <f t="shared" si="25"/>
        <v>0.21</v>
      </c>
      <c r="Q73" s="6">
        <f t="shared" si="25"/>
        <v>0.27999999999999997</v>
      </c>
      <c r="R73" s="6">
        <f t="shared" si="25"/>
        <v>0.35</v>
      </c>
      <c r="S73" s="6">
        <f t="shared" si="25"/>
        <v>0.42</v>
      </c>
      <c r="T73" s="6">
        <f t="shared" si="25"/>
        <v>0.48999999999999994</v>
      </c>
      <c r="U73" s="6">
        <f t="shared" si="25"/>
        <v>0.5599999999999999</v>
      </c>
      <c r="V73" s="6">
        <f t="shared" si="25"/>
        <v>0.63</v>
      </c>
      <c r="W73" s="6">
        <f t="shared" si="25"/>
        <v>0.7</v>
      </c>
      <c r="X73" s="6">
        <f t="shared" si="25"/>
        <v>0.7</v>
      </c>
      <c r="Y73" s="6">
        <f t="shared" si="25"/>
        <v>0.7</v>
      </c>
      <c r="Z73" s="6">
        <f t="shared" si="25"/>
        <v>0.7</v>
      </c>
      <c r="AA73" s="6">
        <f t="shared" si="25"/>
        <v>0.7</v>
      </c>
      <c r="AB73" s="6">
        <f t="shared" si="25"/>
        <v>0.7</v>
      </c>
      <c r="AC73" s="6">
        <f t="shared" si="25"/>
        <v>0.7</v>
      </c>
      <c r="AD73" s="6">
        <f t="shared" si="25"/>
        <v>0.7</v>
      </c>
      <c r="AE73" s="6">
        <f t="shared" si="25"/>
        <v>0.7</v>
      </c>
      <c r="AF73" s="6">
        <f t="shared" si="25"/>
        <v>0.7</v>
      </c>
    </row>
    <row r="74" spans="1:32" s="6" customFormat="1" ht="11.25">
      <c r="A74" s="30" t="s">
        <v>112</v>
      </c>
      <c r="G74">
        <f t="shared" si="22"/>
        <v>2013</v>
      </c>
      <c r="H74"/>
      <c r="I74" s="80"/>
      <c r="O74" s="6">
        <f>N73</f>
        <v>0.06999999999999999</v>
      </c>
      <c r="P74" s="6">
        <f t="shared" si="25"/>
        <v>0.13999999999999999</v>
      </c>
      <c r="Q74" s="6">
        <f t="shared" si="25"/>
        <v>0.21</v>
      </c>
      <c r="R74" s="6">
        <f t="shared" si="25"/>
        <v>0.27999999999999997</v>
      </c>
      <c r="S74" s="6">
        <f t="shared" si="25"/>
        <v>0.35</v>
      </c>
      <c r="T74" s="6">
        <f t="shared" si="25"/>
        <v>0.42</v>
      </c>
      <c r="U74" s="6">
        <f t="shared" si="25"/>
        <v>0.48999999999999994</v>
      </c>
      <c r="V74" s="6">
        <f t="shared" si="25"/>
        <v>0.5599999999999999</v>
      </c>
      <c r="W74" s="6">
        <f t="shared" si="25"/>
        <v>0.63</v>
      </c>
      <c r="X74" s="6">
        <f t="shared" si="25"/>
        <v>0.7</v>
      </c>
      <c r="Y74" s="6">
        <f t="shared" si="25"/>
        <v>0.7</v>
      </c>
      <c r="Z74" s="6">
        <f t="shared" si="25"/>
        <v>0.7</v>
      </c>
      <c r="AA74" s="6">
        <f t="shared" si="25"/>
        <v>0.7</v>
      </c>
      <c r="AB74" s="6">
        <f t="shared" si="25"/>
        <v>0.7</v>
      </c>
      <c r="AC74" s="6">
        <f t="shared" si="25"/>
        <v>0.7</v>
      </c>
      <c r="AD74" s="6">
        <f t="shared" si="25"/>
        <v>0.7</v>
      </c>
      <c r="AE74" s="6">
        <f t="shared" si="25"/>
        <v>0.7</v>
      </c>
      <c r="AF74" s="6">
        <f t="shared" si="25"/>
        <v>0.7</v>
      </c>
    </row>
    <row r="75" spans="1:32" s="6" customFormat="1" ht="11.25">
      <c r="A75" s="30" t="s">
        <v>112</v>
      </c>
      <c r="G75">
        <f t="shared" si="22"/>
        <v>2014</v>
      </c>
      <c r="H75"/>
      <c r="I75" s="80"/>
      <c r="P75" s="6">
        <f>O74</f>
        <v>0.06999999999999999</v>
      </c>
      <c r="Q75" s="6">
        <f t="shared" si="25"/>
        <v>0.13999999999999999</v>
      </c>
      <c r="R75" s="6">
        <f t="shared" si="25"/>
        <v>0.21</v>
      </c>
      <c r="S75" s="6">
        <f t="shared" si="25"/>
        <v>0.27999999999999997</v>
      </c>
      <c r="T75" s="6">
        <f t="shared" si="25"/>
        <v>0.35</v>
      </c>
      <c r="U75" s="6">
        <f t="shared" si="25"/>
        <v>0.42</v>
      </c>
      <c r="V75" s="6">
        <f t="shared" si="25"/>
        <v>0.48999999999999994</v>
      </c>
      <c r="W75" s="6">
        <f t="shared" si="25"/>
        <v>0.5599999999999999</v>
      </c>
      <c r="X75" s="6">
        <f t="shared" si="25"/>
        <v>0.63</v>
      </c>
      <c r="Y75" s="6">
        <f t="shared" si="25"/>
        <v>0.7</v>
      </c>
      <c r="Z75" s="6">
        <f t="shared" si="25"/>
        <v>0.7</v>
      </c>
      <c r="AA75" s="6">
        <f t="shared" si="25"/>
        <v>0.7</v>
      </c>
      <c r="AB75" s="6">
        <f t="shared" si="25"/>
        <v>0.7</v>
      </c>
      <c r="AC75" s="6">
        <f t="shared" si="25"/>
        <v>0.7</v>
      </c>
      <c r="AD75" s="6">
        <f t="shared" si="25"/>
        <v>0.7</v>
      </c>
      <c r="AE75" s="6">
        <f t="shared" si="25"/>
        <v>0.7</v>
      </c>
      <c r="AF75" s="6">
        <f t="shared" si="25"/>
        <v>0.7</v>
      </c>
    </row>
    <row r="76" spans="1:32" s="6" customFormat="1" ht="11.25">
      <c r="A76" s="30" t="s">
        <v>112</v>
      </c>
      <c r="G76">
        <f t="shared" si="22"/>
        <v>2015</v>
      </c>
      <c r="H76"/>
      <c r="I76" s="80"/>
      <c r="Q76" s="6">
        <f>P75</f>
        <v>0.06999999999999999</v>
      </c>
      <c r="R76" s="6">
        <f t="shared" si="25"/>
        <v>0.13999999999999999</v>
      </c>
      <c r="S76" s="6">
        <f t="shared" si="25"/>
        <v>0.21</v>
      </c>
      <c r="T76" s="6">
        <f t="shared" si="25"/>
        <v>0.27999999999999997</v>
      </c>
      <c r="U76" s="6">
        <f t="shared" si="25"/>
        <v>0.35</v>
      </c>
      <c r="V76" s="6">
        <f t="shared" si="25"/>
        <v>0.42</v>
      </c>
      <c r="W76" s="6">
        <f t="shared" si="25"/>
        <v>0.48999999999999994</v>
      </c>
      <c r="X76" s="6">
        <f t="shared" si="25"/>
        <v>0.5599999999999999</v>
      </c>
      <c r="Y76" s="6">
        <f t="shared" si="25"/>
        <v>0.63</v>
      </c>
      <c r="Z76" s="6">
        <f t="shared" si="25"/>
        <v>0.7</v>
      </c>
      <c r="AA76" s="6">
        <f t="shared" si="25"/>
        <v>0.7</v>
      </c>
      <c r="AB76" s="6">
        <f t="shared" si="25"/>
        <v>0.7</v>
      </c>
      <c r="AC76" s="6">
        <f t="shared" si="25"/>
        <v>0.7</v>
      </c>
      <c r="AD76" s="6">
        <f t="shared" si="25"/>
        <v>0.7</v>
      </c>
      <c r="AE76" s="6">
        <f t="shared" si="25"/>
        <v>0.7</v>
      </c>
      <c r="AF76" s="6">
        <f t="shared" si="25"/>
        <v>0.7</v>
      </c>
    </row>
    <row r="77" spans="1:32" s="6" customFormat="1" ht="11.25">
      <c r="A77" s="30" t="s">
        <v>112</v>
      </c>
      <c r="G77">
        <f t="shared" si="22"/>
        <v>2016</v>
      </c>
      <c r="H77"/>
      <c r="I77" s="80"/>
      <c r="N77" s="32"/>
      <c r="R77" s="6">
        <f>Q76</f>
        <v>0.06999999999999999</v>
      </c>
      <c r="S77" s="6">
        <f t="shared" si="25"/>
        <v>0.13999999999999999</v>
      </c>
      <c r="T77" s="6">
        <f t="shared" si="25"/>
        <v>0.21</v>
      </c>
      <c r="U77" s="6">
        <f t="shared" si="25"/>
        <v>0.27999999999999997</v>
      </c>
      <c r="V77" s="6">
        <f t="shared" si="25"/>
        <v>0.35</v>
      </c>
      <c r="W77" s="6">
        <f t="shared" si="25"/>
        <v>0.42</v>
      </c>
      <c r="X77" s="6">
        <f t="shared" si="25"/>
        <v>0.48999999999999994</v>
      </c>
      <c r="Y77" s="6">
        <f t="shared" si="25"/>
        <v>0.5599999999999999</v>
      </c>
      <c r="Z77" s="6">
        <f t="shared" si="25"/>
        <v>0.63</v>
      </c>
      <c r="AA77" s="6">
        <f t="shared" si="25"/>
        <v>0.7</v>
      </c>
      <c r="AB77" s="6">
        <f t="shared" si="25"/>
        <v>0.7</v>
      </c>
      <c r="AC77" s="6">
        <f t="shared" si="25"/>
        <v>0.7</v>
      </c>
      <c r="AD77" s="6">
        <f t="shared" si="25"/>
        <v>0.7</v>
      </c>
      <c r="AE77" s="6">
        <f t="shared" si="25"/>
        <v>0.7</v>
      </c>
      <c r="AF77" s="6">
        <f t="shared" si="25"/>
        <v>0.7</v>
      </c>
    </row>
    <row r="78" spans="1:32" s="6" customFormat="1" ht="11.25">
      <c r="A78" s="30" t="s">
        <v>112</v>
      </c>
      <c r="G78">
        <f t="shared" si="22"/>
        <v>2017</v>
      </c>
      <c r="H78"/>
      <c r="I78" s="80"/>
      <c r="N78" s="32"/>
      <c r="S78" s="6">
        <f>R77</f>
        <v>0.06999999999999999</v>
      </c>
      <c r="T78" s="6">
        <f t="shared" si="25"/>
        <v>0.13999999999999999</v>
      </c>
      <c r="U78" s="6">
        <f t="shared" si="25"/>
        <v>0.21</v>
      </c>
      <c r="V78" s="6">
        <f t="shared" si="25"/>
        <v>0.27999999999999997</v>
      </c>
      <c r="W78" s="6">
        <f t="shared" si="25"/>
        <v>0.35</v>
      </c>
      <c r="X78" s="6">
        <f t="shared" si="25"/>
        <v>0.42</v>
      </c>
      <c r="Y78" s="6">
        <f t="shared" si="25"/>
        <v>0.48999999999999994</v>
      </c>
      <c r="Z78" s="6">
        <f t="shared" si="25"/>
        <v>0.5599999999999999</v>
      </c>
      <c r="AA78" s="6">
        <f t="shared" si="25"/>
        <v>0.63</v>
      </c>
      <c r="AB78" s="6">
        <f t="shared" si="25"/>
        <v>0.7</v>
      </c>
      <c r="AC78" s="6">
        <f t="shared" si="25"/>
        <v>0.7</v>
      </c>
      <c r="AD78" s="6">
        <f t="shared" si="25"/>
        <v>0.7</v>
      </c>
      <c r="AE78" s="6">
        <f t="shared" si="25"/>
        <v>0.7</v>
      </c>
      <c r="AF78" s="6">
        <f t="shared" si="25"/>
        <v>0.7</v>
      </c>
    </row>
    <row r="79" spans="1:32" s="6" customFormat="1" ht="11.25">
      <c r="A79" s="30" t="s">
        <v>112</v>
      </c>
      <c r="G79">
        <f t="shared" si="22"/>
        <v>2018</v>
      </c>
      <c r="H79"/>
      <c r="I79" s="80"/>
      <c r="N79" s="32"/>
      <c r="T79" s="6">
        <f>S78</f>
        <v>0.06999999999999999</v>
      </c>
      <c r="U79" s="6">
        <f t="shared" si="25"/>
        <v>0.13999999999999999</v>
      </c>
      <c r="V79" s="6">
        <f t="shared" si="25"/>
        <v>0.21</v>
      </c>
      <c r="W79" s="6">
        <f t="shared" si="25"/>
        <v>0.27999999999999997</v>
      </c>
      <c r="X79" s="6">
        <f t="shared" si="25"/>
        <v>0.35</v>
      </c>
      <c r="Y79" s="6">
        <f t="shared" si="25"/>
        <v>0.42</v>
      </c>
      <c r="Z79" s="6">
        <f t="shared" si="25"/>
        <v>0.48999999999999994</v>
      </c>
      <c r="AA79" s="6">
        <f t="shared" si="25"/>
        <v>0.5599999999999999</v>
      </c>
      <c r="AB79" s="6">
        <f t="shared" si="25"/>
        <v>0.63</v>
      </c>
      <c r="AC79" s="6">
        <f t="shared" si="25"/>
        <v>0.7</v>
      </c>
      <c r="AD79" s="6">
        <f t="shared" si="25"/>
        <v>0.7</v>
      </c>
      <c r="AE79" s="6">
        <f t="shared" si="25"/>
        <v>0.7</v>
      </c>
      <c r="AF79" s="6">
        <f t="shared" si="25"/>
        <v>0.7</v>
      </c>
    </row>
    <row r="80" spans="1:32" s="6" customFormat="1" ht="11.25">
      <c r="A80" s="30" t="s">
        <v>112</v>
      </c>
      <c r="G80">
        <f t="shared" si="22"/>
        <v>2019</v>
      </c>
      <c r="H80"/>
      <c r="I80" s="80"/>
      <c r="N80" s="32"/>
      <c r="U80" s="6">
        <f>T79</f>
        <v>0.06999999999999999</v>
      </c>
      <c r="V80" s="6">
        <f t="shared" si="25"/>
        <v>0.13999999999999999</v>
      </c>
      <c r="W80" s="6">
        <f t="shared" si="25"/>
        <v>0.21</v>
      </c>
      <c r="X80" s="6">
        <f t="shared" si="25"/>
        <v>0.27999999999999997</v>
      </c>
      <c r="Y80" s="6">
        <f t="shared" si="25"/>
        <v>0.35</v>
      </c>
      <c r="Z80" s="6">
        <f t="shared" si="25"/>
        <v>0.42</v>
      </c>
      <c r="AA80" s="6">
        <f t="shared" si="25"/>
        <v>0.48999999999999994</v>
      </c>
      <c r="AB80" s="6">
        <f t="shared" si="25"/>
        <v>0.5599999999999999</v>
      </c>
      <c r="AC80" s="6">
        <f t="shared" si="25"/>
        <v>0.63</v>
      </c>
      <c r="AD80" s="6">
        <f t="shared" si="25"/>
        <v>0.7</v>
      </c>
      <c r="AE80" s="6">
        <f t="shared" si="25"/>
        <v>0.7</v>
      </c>
      <c r="AF80" s="6">
        <f t="shared" si="25"/>
        <v>0.7</v>
      </c>
    </row>
    <row r="81" spans="1:32" s="6" customFormat="1" ht="11.25">
      <c r="A81" s="30" t="s">
        <v>112</v>
      </c>
      <c r="G81">
        <f t="shared" si="22"/>
        <v>2020</v>
      </c>
      <c r="H81"/>
      <c r="I81" s="80"/>
      <c r="N81" s="32"/>
      <c r="V81" s="6">
        <f>U80</f>
        <v>0.06999999999999999</v>
      </c>
      <c r="W81" s="6">
        <f t="shared" si="25"/>
        <v>0.13999999999999999</v>
      </c>
      <c r="X81" s="6">
        <f t="shared" si="25"/>
        <v>0.21</v>
      </c>
      <c r="Y81" s="6">
        <f t="shared" si="25"/>
        <v>0.27999999999999997</v>
      </c>
      <c r="Z81" s="6">
        <f t="shared" si="25"/>
        <v>0.35</v>
      </c>
      <c r="AA81" s="6">
        <f t="shared" si="25"/>
        <v>0.42</v>
      </c>
      <c r="AB81" s="6">
        <f t="shared" si="25"/>
        <v>0.48999999999999994</v>
      </c>
      <c r="AC81" s="6">
        <f t="shared" si="25"/>
        <v>0.5599999999999999</v>
      </c>
      <c r="AD81" s="6">
        <f t="shared" si="25"/>
        <v>0.63</v>
      </c>
      <c r="AE81" s="6">
        <f t="shared" si="25"/>
        <v>0.7</v>
      </c>
      <c r="AF81" s="6">
        <f t="shared" si="25"/>
        <v>0.7</v>
      </c>
    </row>
    <row r="82" spans="1:32" s="6" customFormat="1" ht="11.25">
      <c r="A82" s="30" t="s">
        <v>112</v>
      </c>
      <c r="F82"/>
      <c r="G82">
        <f aca="true" t="shared" si="26" ref="G82:G91">G81+1</f>
        <v>2021</v>
      </c>
      <c r="H82"/>
      <c r="I82" s="80"/>
      <c r="N82" s="32"/>
      <c r="W82" s="6">
        <f aca="true" t="shared" si="27" ref="W82:AF82">V81</f>
        <v>0.06999999999999999</v>
      </c>
      <c r="X82" s="6">
        <f t="shared" si="27"/>
        <v>0.13999999999999999</v>
      </c>
      <c r="Y82" s="6">
        <f t="shared" si="27"/>
        <v>0.21</v>
      </c>
      <c r="Z82" s="6">
        <f t="shared" si="27"/>
        <v>0.27999999999999997</v>
      </c>
      <c r="AA82" s="6">
        <f t="shared" si="27"/>
        <v>0.35</v>
      </c>
      <c r="AB82" s="6">
        <f t="shared" si="27"/>
        <v>0.42</v>
      </c>
      <c r="AC82" s="6">
        <f t="shared" si="27"/>
        <v>0.48999999999999994</v>
      </c>
      <c r="AD82" s="6">
        <f t="shared" si="27"/>
        <v>0.5599999999999999</v>
      </c>
      <c r="AE82" s="6">
        <f t="shared" si="27"/>
        <v>0.63</v>
      </c>
      <c r="AF82" s="6">
        <f t="shared" si="27"/>
        <v>0.7</v>
      </c>
    </row>
    <row r="83" spans="1:32" s="6" customFormat="1" ht="11.25">
      <c r="A83" s="30" t="s">
        <v>112</v>
      </c>
      <c r="F83"/>
      <c r="G83">
        <f t="shared" si="26"/>
        <v>2022</v>
      </c>
      <c r="H83"/>
      <c r="I83" s="80"/>
      <c r="N83" s="32"/>
      <c r="X83" s="6">
        <f aca="true" t="shared" si="28" ref="X83:AF83">W82</f>
        <v>0.06999999999999999</v>
      </c>
      <c r="Y83" s="6">
        <f t="shared" si="28"/>
        <v>0.13999999999999999</v>
      </c>
      <c r="Z83" s="6">
        <f t="shared" si="28"/>
        <v>0.21</v>
      </c>
      <c r="AA83" s="6">
        <f t="shared" si="28"/>
        <v>0.27999999999999997</v>
      </c>
      <c r="AB83" s="6">
        <f t="shared" si="28"/>
        <v>0.35</v>
      </c>
      <c r="AC83" s="6">
        <f t="shared" si="28"/>
        <v>0.42</v>
      </c>
      <c r="AD83" s="6">
        <f t="shared" si="28"/>
        <v>0.48999999999999994</v>
      </c>
      <c r="AE83" s="6">
        <f t="shared" si="28"/>
        <v>0.5599999999999999</v>
      </c>
      <c r="AF83" s="6">
        <f t="shared" si="28"/>
        <v>0.63</v>
      </c>
    </row>
    <row r="84" spans="1:32" s="6" customFormat="1" ht="11.25">
      <c r="A84" s="30" t="s">
        <v>112</v>
      </c>
      <c r="F84"/>
      <c r="G84">
        <f t="shared" si="26"/>
        <v>2023</v>
      </c>
      <c r="H84"/>
      <c r="I84" s="80"/>
      <c r="N84" s="32"/>
      <c r="Y84" s="6">
        <f>X83</f>
        <v>0.06999999999999999</v>
      </c>
      <c r="Z84" s="6">
        <f aca="true" t="shared" si="29" ref="Z84:AF89">Y83</f>
        <v>0.13999999999999999</v>
      </c>
      <c r="AA84" s="6">
        <f t="shared" si="29"/>
        <v>0.21</v>
      </c>
      <c r="AB84" s="6">
        <f t="shared" si="29"/>
        <v>0.27999999999999997</v>
      </c>
      <c r="AC84" s="6">
        <f t="shared" si="29"/>
        <v>0.35</v>
      </c>
      <c r="AD84" s="6">
        <f t="shared" si="29"/>
        <v>0.42</v>
      </c>
      <c r="AE84" s="6">
        <f t="shared" si="29"/>
        <v>0.48999999999999994</v>
      </c>
      <c r="AF84" s="6">
        <f t="shared" si="29"/>
        <v>0.5599999999999999</v>
      </c>
    </row>
    <row r="85" spans="1:32" s="6" customFormat="1" ht="11.25">
      <c r="A85" s="30" t="s">
        <v>112</v>
      </c>
      <c r="F85"/>
      <c r="G85">
        <f t="shared" si="26"/>
        <v>2024</v>
      </c>
      <c r="I85" s="33"/>
      <c r="N85" s="32"/>
      <c r="Z85" s="6">
        <f>Y84</f>
        <v>0.06999999999999999</v>
      </c>
      <c r="AA85" s="6">
        <f t="shared" si="29"/>
        <v>0.13999999999999999</v>
      </c>
      <c r="AB85" s="6">
        <f t="shared" si="29"/>
        <v>0.21</v>
      </c>
      <c r="AC85" s="6">
        <f t="shared" si="29"/>
        <v>0.27999999999999997</v>
      </c>
      <c r="AD85" s="6">
        <f t="shared" si="29"/>
        <v>0.35</v>
      </c>
      <c r="AE85" s="6">
        <f t="shared" si="29"/>
        <v>0.42</v>
      </c>
      <c r="AF85" s="6">
        <f t="shared" si="29"/>
        <v>0.48999999999999994</v>
      </c>
    </row>
    <row r="86" spans="1:32" s="6" customFormat="1" ht="11.25">
      <c r="A86" s="30" t="s">
        <v>112</v>
      </c>
      <c r="F86"/>
      <c r="G86">
        <f t="shared" si="26"/>
        <v>2025</v>
      </c>
      <c r="I86" s="33"/>
      <c r="N86" s="32"/>
      <c r="AA86" s="6">
        <f>Z85</f>
        <v>0.06999999999999999</v>
      </c>
      <c r="AB86" s="6">
        <f t="shared" si="29"/>
        <v>0.13999999999999999</v>
      </c>
      <c r="AC86" s="6">
        <f t="shared" si="29"/>
        <v>0.21</v>
      </c>
      <c r="AD86" s="6">
        <f t="shared" si="29"/>
        <v>0.27999999999999997</v>
      </c>
      <c r="AE86" s="6">
        <f t="shared" si="29"/>
        <v>0.35</v>
      </c>
      <c r="AF86" s="6">
        <f t="shared" si="29"/>
        <v>0.42</v>
      </c>
    </row>
    <row r="87" spans="1:32" s="6" customFormat="1" ht="11.25">
      <c r="A87" s="30" t="s">
        <v>112</v>
      </c>
      <c r="F87"/>
      <c r="G87">
        <f t="shared" si="26"/>
        <v>2026</v>
      </c>
      <c r="I87" s="33"/>
      <c r="N87" s="32"/>
      <c r="AB87" s="6">
        <f>AA86</f>
        <v>0.06999999999999999</v>
      </c>
      <c r="AC87" s="6">
        <f t="shared" si="29"/>
        <v>0.13999999999999999</v>
      </c>
      <c r="AD87" s="6">
        <f t="shared" si="29"/>
        <v>0.21</v>
      </c>
      <c r="AE87" s="6">
        <f t="shared" si="29"/>
        <v>0.27999999999999997</v>
      </c>
      <c r="AF87" s="6">
        <f t="shared" si="29"/>
        <v>0.35</v>
      </c>
    </row>
    <row r="88" spans="1:32" s="6" customFormat="1" ht="11.25">
      <c r="A88" s="30" t="s">
        <v>112</v>
      </c>
      <c r="F88"/>
      <c r="G88">
        <f t="shared" si="26"/>
        <v>2027</v>
      </c>
      <c r="I88" s="33"/>
      <c r="N88" s="32"/>
      <c r="AC88" s="6">
        <f>AB87</f>
        <v>0.06999999999999999</v>
      </c>
      <c r="AD88" s="6">
        <f t="shared" si="29"/>
        <v>0.13999999999999999</v>
      </c>
      <c r="AE88" s="6">
        <f t="shared" si="29"/>
        <v>0.21</v>
      </c>
      <c r="AF88" s="6">
        <f t="shared" si="29"/>
        <v>0.27999999999999997</v>
      </c>
    </row>
    <row r="89" spans="1:32" s="6" customFormat="1" ht="11.25">
      <c r="A89" s="30" t="s">
        <v>112</v>
      </c>
      <c r="F89"/>
      <c r="G89">
        <f t="shared" si="26"/>
        <v>2028</v>
      </c>
      <c r="I89" s="33"/>
      <c r="N89" s="32"/>
      <c r="AD89" s="6">
        <f>AC88</f>
        <v>0.06999999999999999</v>
      </c>
      <c r="AE89" s="6">
        <f t="shared" si="29"/>
        <v>0.13999999999999999</v>
      </c>
      <c r="AF89" s="6">
        <f t="shared" si="29"/>
        <v>0.21</v>
      </c>
    </row>
    <row r="90" spans="1:32" s="6" customFormat="1" ht="11.25">
      <c r="A90" s="30" t="s">
        <v>112</v>
      </c>
      <c r="F90"/>
      <c r="G90">
        <f t="shared" si="26"/>
        <v>2029</v>
      </c>
      <c r="I90" s="33"/>
      <c r="N90" s="32"/>
      <c r="AE90" s="6">
        <f>AD89</f>
        <v>0.06999999999999999</v>
      </c>
      <c r="AF90" s="6">
        <f>AE89</f>
        <v>0.13999999999999999</v>
      </c>
    </row>
    <row r="91" spans="1:32" s="6" customFormat="1" ht="11.25">
      <c r="A91" s="30" t="s">
        <v>112</v>
      </c>
      <c r="F91"/>
      <c r="G91">
        <f t="shared" si="26"/>
        <v>2030</v>
      </c>
      <c r="I91" s="33"/>
      <c r="N91" s="32"/>
      <c r="AF91" s="6">
        <f>AE90</f>
        <v>0.06999999999999999</v>
      </c>
    </row>
    <row r="92" spans="1:9" s="6" customFormat="1" ht="11.25">
      <c r="A92" s="30"/>
      <c r="H92"/>
      <c r="I92" s="33"/>
    </row>
    <row r="93" spans="1:32" s="16" customFormat="1" ht="11.25">
      <c r="A93" s="31" t="s">
        <v>54</v>
      </c>
      <c r="G93">
        <f aca="true" t="shared" si="30" ref="G93:G105">G69</f>
        <v>2008</v>
      </c>
      <c r="H93"/>
      <c r="I93" s="33"/>
      <c r="J93" s="16">
        <f aca="true" t="shared" si="31" ref="J93:AF93">(1+$J$61)^(-J69)</f>
        <v>0.9986463219364203</v>
      </c>
      <c r="K93" s="16">
        <f t="shared" si="31"/>
        <v>0.9972944763171407</v>
      </c>
      <c r="L93" s="16">
        <f t="shared" si="31"/>
        <v>0.9959444606616211</v>
      </c>
      <c r="M93" s="16">
        <f t="shared" si="31"/>
        <v>0.9945962724926799</v>
      </c>
      <c r="N93" s="16">
        <f t="shared" si="31"/>
        <v>0.9932499093364887</v>
      </c>
      <c r="O93" s="16">
        <f t="shared" si="31"/>
        <v>0.9919053687225674</v>
      </c>
      <c r="P93" s="16">
        <f t="shared" si="31"/>
        <v>0.9905626481837809</v>
      </c>
      <c r="Q93" s="16">
        <f t="shared" si="31"/>
        <v>0.9892217452563331</v>
      </c>
      <c r="R93" s="16">
        <f t="shared" si="31"/>
        <v>0.9878826574797639</v>
      </c>
      <c r="S93" s="16">
        <f t="shared" si="31"/>
        <v>0.9865453823969428</v>
      </c>
      <c r="T93" s="16">
        <f t="shared" si="31"/>
        <v>0.9865453823969428</v>
      </c>
      <c r="U93" s="16">
        <f t="shared" si="31"/>
        <v>0.9865453823969428</v>
      </c>
      <c r="V93" s="16">
        <f t="shared" si="31"/>
        <v>0.9865453823969428</v>
      </c>
      <c r="W93" s="16">
        <f t="shared" si="31"/>
        <v>0.9865453823969428</v>
      </c>
      <c r="X93" s="16">
        <f t="shared" si="31"/>
        <v>0.9865453823969428</v>
      </c>
      <c r="Y93" s="16">
        <f t="shared" si="31"/>
        <v>0.9865453823969428</v>
      </c>
      <c r="Z93" s="16">
        <f t="shared" si="31"/>
        <v>0.9865453823969428</v>
      </c>
      <c r="AA93" s="16">
        <f t="shared" si="31"/>
        <v>0.9865453823969428</v>
      </c>
      <c r="AB93" s="16">
        <f t="shared" si="31"/>
        <v>0.9865453823969428</v>
      </c>
      <c r="AC93" s="16">
        <f t="shared" si="31"/>
        <v>0.9865453823969428</v>
      </c>
      <c r="AD93" s="16">
        <f t="shared" si="31"/>
        <v>0.9865453823969428</v>
      </c>
      <c r="AE93" s="16">
        <f t="shared" si="31"/>
        <v>0.9865453823969428</v>
      </c>
      <c r="AF93" s="16">
        <f t="shared" si="31"/>
        <v>0.9865453823969428</v>
      </c>
    </row>
    <row r="94" spans="1:32" ht="11.25">
      <c r="A94" s="31" t="s">
        <v>54</v>
      </c>
      <c r="B94" s="31"/>
      <c r="G94">
        <f t="shared" si="30"/>
        <v>2009</v>
      </c>
      <c r="J94" s="16">
        <f>(1+$J$61)^(-J70)</f>
        <v>1</v>
      </c>
      <c r="K94" s="16">
        <f>(1+$K$61)^(-K70)</f>
        <v>0.9986933251083452</v>
      </c>
      <c r="L94" s="16">
        <f>(1+$K$61)^(-L70)</f>
        <v>0.9973883576159628</v>
      </c>
      <c r="M94" s="16">
        <f>(1+$K$61)^(-M70)</f>
        <v>0.9960850952918373</v>
      </c>
      <c r="N94" s="16">
        <f>(1+$K$61)^(-N70)</f>
        <v>0.9947835359078679</v>
      </c>
      <c r="O94" s="16">
        <f>(1+$K$61)^(-O70)</f>
        <v>0.9934836772388655</v>
      </c>
      <c r="P94" s="16">
        <f aca="true" t="shared" si="32" ref="P94:AF94">(1+$K$61)^(-P70)</f>
        <v>0.9921855170625485</v>
      </c>
      <c r="Q94" s="16">
        <f t="shared" si="32"/>
        <v>0.9908890531595396</v>
      </c>
      <c r="R94" s="16">
        <f t="shared" si="32"/>
        <v>0.9895942833133604</v>
      </c>
      <c r="S94" s="16">
        <f t="shared" si="32"/>
        <v>0.9883012053104296</v>
      </c>
      <c r="T94" s="16">
        <f t="shared" si="32"/>
        <v>0.9870098169400583</v>
      </c>
      <c r="U94" s="16">
        <f t="shared" si="32"/>
        <v>0.9870098169400583</v>
      </c>
      <c r="V94" s="16">
        <f t="shared" si="32"/>
        <v>0.9870098169400583</v>
      </c>
      <c r="W94" s="16">
        <f t="shared" si="32"/>
        <v>0.9870098169400583</v>
      </c>
      <c r="X94" s="16">
        <f t="shared" si="32"/>
        <v>0.9870098169400583</v>
      </c>
      <c r="Y94" s="16">
        <f t="shared" si="32"/>
        <v>0.9870098169400583</v>
      </c>
      <c r="Z94" s="16">
        <f t="shared" si="32"/>
        <v>0.9870098169400583</v>
      </c>
      <c r="AA94" s="16">
        <f t="shared" si="32"/>
        <v>0.9870098169400583</v>
      </c>
      <c r="AB94" s="16">
        <f t="shared" si="32"/>
        <v>0.9870098169400583</v>
      </c>
      <c r="AC94" s="16">
        <f t="shared" si="32"/>
        <v>0.9870098169400583</v>
      </c>
      <c r="AD94" s="16">
        <f t="shared" si="32"/>
        <v>0.9870098169400583</v>
      </c>
      <c r="AE94" s="16">
        <f t="shared" si="32"/>
        <v>0.9870098169400583</v>
      </c>
      <c r="AF94" s="16">
        <f t="shared" si="32"/>
        <v>0.9870098169400583</v>
      </c>
    </row>
    <row r="95" spans="1:33" ht="11.25">
      <c r="A95" s="31" t="s">
        <v>54</v>
      </c>
      <c r="B95" s="31"/>
      <c r="G95">
        <f t="shared" si="30"/>
        <v>2010</v>
      </c>
      <c r="H95" s="3"/>
      <c r="I95" s="79"/>
      <c r="J95" s="16">
        <f aca="true" t="shared" si="33" ref="J95:J115">(1+$J$61)^(-J71)</f>
        <v>1</v>
      </c>
      <c r="K95" s="16">
        <f aca="true" t="shared" si="34" ref="K95:L115">(1+$K$61)^(-K71)</f>
        <v>1</v>
      </c>
      <c r="L95" s="17">
        <f aca="true" t="shared" si="35" ref="L95:AF95">(1+$L$61)^(-L71)</f>
        <v>0.9987379566353449</v>
      </c>
      <c r="M95" s="17">
        <f t="shared" si="35"/>
        <v>0.9974775060241439</v>
      </c>
      <c r="N95" s="17">
        <f t="shared" si="35"/>
        <v>0.9962186461562733</v>
      </c>
      <c r="O95" s="17">
        <f t="shared" si="35"/>
        <v>0.9949613750241462</v>
      </c>
      <c r="P95" s="17">
        <f t="shared" si="35"/>
        <v>0.9937056906227087</v>
      </c>
      <c r="Q95" s="17">
        <f t="shared" si="35"/>
        <v>0.9924515909494381</v>
      </c>
      <c r="R95" s="17">
        <f t="shared" si="35"/>
        <v>0.9911990740043389</v>
      </c>
      <c r="S95" s="17">
        <f t="shared" si="35"/>
        <v>0.9899481377899394</v>
      </c>
      <c r="T95" s="17">
        <f t="shared" si="35"/>
        <v>0.988698780311289</v>
      </c>
      <c r="U95" s="17">
        <f t="shared" si="35"/>
        <v>0.9874509995759543</v>
      </c>
      <c r="V95" s="17">
        <f t="shared" si="35"/>
        <v>0.9874509995759543</v>
      </c>
      <c r="W95" s="17">
        <f t="shared" si="35"/>
        <v>0.9874509995759543</v>
      </c>
      <c r="X95" s="17">
        <f t="shared" si="35"/>
        <v>0.9874509995759543</v>
      </c>
      <c r="Y95" s="17">
        <f t="shared" si="35"/>
        <v>0.9874509995759543</v>
      </c>
      <c r="Z95" s="17">
        <f t="shared" si="35"/>
        <v>0.9874509995759543</v>
      </c>
      <c r="AA95" s="17">
        <f t="shared" si="35"/>
        <v>0.9874509995759543</v>
      </c>
      <c r="AB95" s="17">
        <f t="shared" si="35"/>
        <v>0.9874509995759543</v>
      </c>
      <c r="AC95" s="17">
        <f t="shared" si="35"/>
        <v>0.9874509995759543</v>
      </c>
      <c r="AD95" s="17">
        <f t="shared" si="35"/>
        <v>0.9874509995759543</v>
      </c>
      <c r="AE95" s="17">
        <f t="shared" si="35"/>
        <v>0.9874509995759543</v>
      </c>
      <c r="AF95" s="17">
        <f t="shared" si="35"/>
        <v>0.9874509995759543</v>
      </c>
      <c r="AG95" s="17"/>
    </row>
    <row r="96" spans="1:32" ht="11.25">
      <c r="A96" s="31" t="s">
        <v>54</v>
      </c>
      <c r="B96" s="31"/>
      <c r="G96">
        <f t="shared" si="30"/>
        <v>2011</v>
      </c>
      <c r="H96" s="3"/>
      <c r="I96" s="79"/>
      <c r="J96" s="16">
        <f t="shared" si="33"/>
        <v>1</v>
      </c>
      <c r="K96" s="16">
        <f t="shared" si="34"/>
        <v>1</v>
      </c>
      <c r="L96" s="17">
        <f aca="true" t="shared" si="36" ref="L96:L115">(1+$L$61)^(-L72)</f>
        <v>1</v>
      </c>
      <c r="M96" s="17">
        <f>(1+$M$61)^(-M72)</f>
        <v>0.9987803901319249</v>
      </c>
      <c r="N96" s="17">
        <f>(1+$M$61)^(-N72)</f>
        <v>0.9975622677120801</v>
      </c>
      <c r="O96" s="17">
        <f aca="true" t="shared" si="37" ref="O96:AF96">(1+$M$61)^(-O72)</f>
        <v>0.9963456309263593</v>
      </c>
      <c r="P96" s="17">
        <f t="shared" si="37"/>
        <v>0.9951304779628681</v>
      </c>
      <c r="Q96" s="17">
        <f t="shared" si="37"/>
        <v>0.9939168070119224</v>
      </c>
      <c r="R96" s="17">
        <f t="shared" si="37"/>
        <v>0.9927046162660449</v>
      </c>
      <c r="S96" s="17">
        <f t="shared" si="37"/>
        <v>0.9914939039199632</v>
      </c>
      <c r="T96" s="17">
        <f t="shared" si="37"/>
        <v>0.9902846681706062</v>
      </c>
      <c r="U96" s="17">
        <f t="shared" si="37"/>
        <v>0.9890769072171018</v>
      </c>
      <c r="V96" s="17">
        <f t="shared" si="37"/>
        <v>0.9878706192607748</v>
      </c>
      <c r="W96" s="17">
        <f t="shared" si="37"/>
        <v>0.9878706192607748</v>
      </c>
      <c r="X96" s="17">
        <f t="shared" si="37"/>
        <v>0.9878706192607748</v>
      </c>
      <c r="Y96" s="17">
        <f t="shared" si="37"/>
        <v>0.9878706192607748</v>
      </c>
      <c r="Z96" s="17">
        <f t="shared" si="37"/>
        <v>0.9878706192607748</v>
      </c>
      <c r="AA96" s="17">
        <f t="shared" si="37"/>
        <v>0.9878706192607748</v>
      </c>
      <c r="AB96" s="17">
        <f t="shared" si="37"/>
        <v>0.9878706192607748</v>
      </c>
      <c r="AC96" s="17">
        <f t="shared" si="37"/>
        <v>0.9878706192607748</v>
      </c>
      <c r="AD96" s="17">
        <f t="shared" si="37"/>
        <v>0.9878706192607748</v>
      </c>
      <c r="AE96" s="17">
        <f t="shared" si="37"/>
        <v>0.9878706192607748</v>
      </c>
      <c r="AF96" s="17">
        <f t="shared" si="37"/>
        <v>0.9878706192607748</v>
      </c>
    </row>
    <row r="97" spans="1:32" ht="11.25">
      <c r="A97" s="31" t="s">
        <v>54</v>
      </c>
      <c r="B97" s="31"/>
      <c r="G97">
        <f t="shared" si="30"/>
        <v>2012</v>
      </c>
      <c r="H97" s="3"/>
      <c r="I97" s="79"/>
      <c r="J97" s="16">
        <f t="shared" si="33"/>
        <v>1</v>
      </c>
      <c r="K97" s="16">
        <f t="shared" si="34"/>
        <v>1</v>
      </c>
      <c r="L97" s="17">
        <f t="shared" si="36"/>
        <v>1</v>
      </c>
      <c r="M97" s="17">
        <f aca="true" t="shared" si="38" ref="M97:M115">(1+$M$61)^(-M73)</f>
        <v>1</v>
      </c>
      <c r="N97" s="17">
        <f>(1+$N$61)^(-N73)</f>
        <v>0.9988207826592744</v>
      </c>
      <c r="O97" s="17">
        <f aca="true" t="shared" si="39" ref="O97:AF97">(1+$N$61)^(-O73)</f>
        <v>0.9976429558720858</v>
      </c>
      <c r="P97" s="17">
        <f t="shared" si="39"/>
        <v>0.9964665179986688</v>
      </c>
      <c r="Q97" s="17">
        <f t="shared" si="39"/>
        <v>0.9952914674011926</v>
      </c>
      <c r="R97" s="17">
        <f t="shared" si="39"/>
        <v>0.994117802443757</v>
      </c>
      <c r="S97" s="17">
        <f t="shared" si="39"/>
        <v>0.9929455214923912</v>
      </c>
      <c r="T97" s="17">
        <f t="shared" si="39"/>
        <v>0.9917746229150517</v>
      </c>
      <c r="U97" s="17">
        <f t="shared" si="39"/>
        <v>0.9906051050816189</v>
      </c>
      <c r="V97" s="17">
        <f t="shared" si="39"/>
        <v>0.9894369663638956</v>
      </c>
      <c r="W97" s="17">
        <f t="shared" si="39"/>
        <v>0.9882702051356044</v>
      </c>
      <c r="X97" s="17">
        <f t="shared" si="39"/>
        <v>0.9882702051356044</v>
      </c>
      <c r="Y97" s="17">
        <f t="shared" si="39"/>
        <v>0.9882702051356044</v>
      </c>
      <c r="Z97" s="17">
        <f t="shared" si="39"/>
        <v>0.9882702051356044</v>
      </c>
      <c r="AA97" s="17">
        <f t="shared" si="39"/>
        <v>0.9882702051356044</v>
      </c>
      <c r="AB97" s="17">
        <f t="shared" si="39"/>
        <v>0.9882702051356044</v>
      </c>
      <c r="AC97" s="17">
        <f t="shared" si="39"/>
        <v>0.9882702051356044</v>
      </c>
      <c r="AD97" s="17">
        <f t="shared" si="39"/>
        <v>0.9882702051356044</v>
      </c>
      <c r="AE97" s="17">
        <f t="shared" si="39"/>
        <v>0.9882702051356044</v>
      </c>
      <c r="AF97" s="17">
        <f t="shared" si="39"/>
        <v>0.9882702051356044</v>
      </c>
    </row>
    <row r="98" spans="1:32" ht="11.25">
      <c r="A98" s="31" t="s">
        <v>54</v>
      </c>
      <c r="B98" s="31"/>
      <c r="G98">
        <f t="shared" si="30"/>
        <v>2013</v>
      </c>
      <c r="H98" s="3"/>
      <c r="I98" s="79"/>
      <c r="J98" s="16">
        <f t="shared" si="33"/>
        <v>1</v>
      </c>
      <c r="K98" s="16">
        <f t="shared" si="34"/>
        <v>1</v>
      </c>
      <c r="L98" s="17">
        <f t="shared" si="36"/>
        <v>1</v>
      </c>
      <c r="M98" s="17">
        <f t="shared" si="38"/>
        <v>1</v>
      </c>
      <c r="N98" s="17">
        <f aca="true" t="shared" si="40" ref="N98:N115">(1+$N$61)^(-N74)</f>
        <v>1</v>
      </c>
      <c r="O98" s="17">
        <f>(1+$O$61)^(-O74)</f>
        <v>0.9988592766522412</v>
      </c>
      <c r="P98" s="17">
        <f aca="true" t="shared" si="41" ref="P98:AF98">(1+$O$61)^(-P74)</f>
        <v>0.9977198545542386</v>
      </c>
      <c r="Q98" s="17">
        <f t="shared" si="41"/>
        <v>0.996581732221626</v>
      </c>
      <c r="R98" s="17">
        <f t="shared" si="41"/>
        <v>0.9954449081717308</v>
      </c>
      <c r="S98" s="17">
        <f t="shared" si="41"/>
        <v>0.9943093809235717</v>
      </c>
      <c r="T98" s="17">
        <f t="shared" si="41"/>
        <v>0.9931751489978567</v>
      </c>
      <c r="U98" s="17">
        <f t="shared" si="41"/>
        <v>0.992042210916981</v>
      </c>
      <c r="V98" s="17">
        <f t="shared" si="41"/>
        <v>0.9909105652050256</v>
      </c>
      <c r="W98" s="17">
        <f t="shared" si="41"/>
        <v>0.9897802103877553</v>
      </c>
      <c r="X98" s="17">
        <f t="shared" si="41"/>
        <v>0.9886511449926165</v>
      </c>
      <c r="Y98" s="17">
        <f t="shared" si="41"/>
        <v>0.9886511449926165</v>
      </c>
      <c r="Z98" s="17">
        <f t="shared" si="41"/>
        <v>0.9886511449926165</v>
      </c>
      <c r="AA98" s="17">
        <f t="shared" si="41"/>
        <v>0.9886511449926165</v>
      </c>
      <c r="AB98" s="17">
        <f t="shared" si="41"/>
        <v>0.9886511449926165</v>
      </c>
      <c r="AC98" s="17">
        <f t="shared" si="41"/>
        <v>0.9886511449926165</v>
      </c>
      <c r="AD98" s="17">
        <f t="shared" si="41"/>
        <v>0.9886511449926165</v>
      </c>
      <c r="AE98" s="17">
        <f t="shared" si="41"/>
        <v>0.9886511449926165</v>
      </c>
      <c r="AF98" s="17">
        <f t="shared" si="41"/>
        <v>0.9886511449926165</v>
      </c>
    </row>
    <row r="99" spans="1:32" ht="11.25">
      <c r="A99" s="31" t="s">
        <v>54</v>
      </c>
      <c r="B99" s="31"/>
      <c r="G99">
        <f t="shared" si="30"/>
        <v>2014</v>
      </c>
      <c r="H99" s="3"/>
      <c r="I99" s="79"/>
      <c r="J99" s="16">
        <f t="shared" si="33"/>
        <v>1</v>
      </c>
      <c r="K99" s="16">
        <f t="shared" si="34"/>
        <v>1</v>
      </c>
      <c r="L99" s="17">
        <f t="shared" si="36"/>
        <v>1</v>
      </c>
      <c r="M99" s="17">
        <f t="shared" si="38"/>
        <v>1</v>
      </c>
      <c r="N99" s="17">
        <f t="shared" si="40"/>
        <v>1</v>
      </c>
      <c r="O99" s="17">
        <f aca="true" t="shared" si="42" ref="O99:O115">(1+$O$61)^(-O75)</f>
        <v>1</v>
      </c>
      <c r="P99" s="17">
        <f>(1+$P$61)^(-P75)</f>
        <v>0.9988960015832365</v>
      </c>
      <c r="Q99" s="17">
        <f aca="true" t="shared" si="43" ref="Q99:AF99">(1+$P$61)^(-Q75)</f>
        <v>0.9977932219789772</v>
      </c>
      <c r="R99" s="17">
        <f t="shared" si="43"/>
        <v>0.9966916598416551</v>
      </c>
      <c r="S99" s="17">
        <f t="shared" si="43"/>
        <v>0.9955913138271885</v>
      </c>
      <c r="T99" s="17">
        <f t="shared" si="43"/>
        <v>0.9944921825929799</v>
      </c>
      <c r="U99" s="17">
        <f t="shared" si="43"/>
        <v>0.9933942647979135</v>
      </c>
      <c r="V99" s="17">
        <f t="shared" si="43"/>
        <v>0.9922975591023547</v>
      </c>
      <c r="W99" s="17">
        <f t="shared" si="43"/>
        <v>0.9912020641681474</v>
      </c>
      <c r="X99" s="17">
        <f t="shared" si="43"/>
        <v>0.9901077786586132</v>
      </c>
      <c r="Y99" s="17">
        <f t="shared" si="43"/>
        <v>0.9890147012385488</v>
      </c>
      <c r="Z99" s="17">
        <f t="shared" si="43"/>
        <v>0.9890147012385488</v>
      </c>
      <c r="AA99" s="17">
        <f t="shared" si="43"/>
        <v>0.9890147012385488</v>
      </c>
      <c r="AB99" s="17">
        <f t="shared" si="43"/>
        <v>0.9890147012385488</v>
      </c>
      <c r="AC99" s="17">
        <f t="shared" si="43"/>
        <v>0.9890147012385488</v>
      </c>
      <c r="AD99" s="17">
        <f t="shared" si="43"/>
        <v>0.9890147012385488</v>
      </c>
      <c r="AE99" s="17">
        <f t="shared" si="43"/>
        <v>0.9890147012385488</v>
      </c>
      <c r="AF99" s="17">
        <f t="shared" si="43"/>
        <v>0.9890147012385488</v>
      </c>
    </row>
    <row r="100" spans="1:32" ht="11.25">
      <c r="A100" s="31" t="s">
        <v>54</v>
      </c>
      <c r="B100" s="31"/>
      <c r="G100">
        <f t="shared" si="30"/>
        <v>2015</v>
      </c>
      <c r="H100" s="3"/>
      <c r="I100" s="79"/>
      <c r="J100" s="16">
        <f t="shared" si="33"/>
        <v>1</v>
      </c>
      <c r="K100" s="16">
        <f t="shared" si="34"/>
        <v>1</v>
      </c>
      <c r="L100" s="17">
        <f t="shared" si="36"/>
        <v>1</v>
      </c>
      <c r="M100" s="17">
        <f t="shared" si="38"/>
        <v>1</v>
      </c>
      <c r="N100" s="17">
        <f t="shared" si="40"/>
        <v>1</v>
      </c>
      <c r="O100" s="17">
        <f t="shared" si="42"/>
        <v>1</v>
      </c>
      <c r="P100" s="17">
        <f aca="true" t="shared" si="44" ref="P100:P115">(1+$P$61)^(-P76)</f>
        <v>1</v>
      </c>
      <c r="Q100" s="17">
        <f aca="true" t="shared" si="45" ref="Q100:Q115">(1+$Q$61)^(-Q76)</f>
        <v>0.9989310754040414</v>
      </c>
      <c r="R100" s="17">
        <f aca="true" t="shared" si="46" ref="R100:AF100">(1+$Q$61)^(-R76)</f>
        <v>0.9978632934078744</v>
      </c>
      <c r="S100" s="17">
        <f t="shared" si="46"/>
        <v>0.9967966527901465</v>
      </c>
      <c r="T100" s="17">
        <f t="shared" si="46"/>
        <v>0.9957311523308097</v>
      </c>
      <c r="U100" s="17">
        <f t="shared" si="46"/>
        <v>0.9946667908111212</v>
      </c>
      <c r="V100" s="17">
        <f t="shared" si="46"/>
        <v>0.9936035670136396</v>
      </c>
      <c r="W100" s="17">
        <f t="shared" si="46"/>
        <v>0.9925414797222265</v>
      </c>
      <c r="X100" s="17">
        <f t="shared" si="46"/>
        <v>0.9914805277220422</v>
      </c>
      <c r="Y100" s="17">
        <f t="shared" si="46"/>
        <v>0.9904207097995461</v>
      </c>
      <c r="Z100" s="17">
        <f t="shared" si="46"/>
        <v>0.9893620247424944</v>
      </c>
      <c r="AA100" s="17">
        <f t="shared" si="46"/>
        <v>0.9893620247424944</v>
      </c>
      <c r="AB100" s="17">
        <f t="shared" si="46"/>
        <v>0.9893620247424944</v>
      </c>
      <c r="AC100" s="17">
        <f t="shared" si="46"/>
        <v>0.9893620247424944</v>
      </c>
      <c r="AD100" s="17">
        <f t="shared" si="46"/>
        <v>0.9893620247424944</v>
      </c>
      <c r="AE100" s="17">
        <f t="shared" si="46"/>
        <v>0.9893620247424944</v>
      </c>
      <c r="AF100" s="17">
        <f t="shared" si="46"/>
        <v>0.9893620247424944</v>
      </c>
    </row>
    <row r="101" spans="1:32" ht="11.25">
      <c r="A101" s="31" t="s">
        <v>54</v>
      </c>
      <c r="B101" s="31"/>
      <c r="G101">
        <f t="shared" si="30"/>
        <v>2016</v>
      </c>
      <c r="J101" s="16">
        <f t="shared" si="33"/>
        <v>1</v>
      </c>
      <c r="K101" s="16">
        <f t="shared" si="34"/>
        <v>1</v>
      </c>
      <c r="L101" s="17">
        <f t="shared" si="36"/>
        <v>1</v>
      </c>
      <c r="M101" s="17">
        <f t="shared" si="38"/>
        <v>1</v>
      </c>
      <c r="N101" s="17">
        <f t="shared" si="40"/>
        <v>1</v>
      </c>
      <c r="O101" s="17">
        <f t="shared" si="42"/>
        <v>1</v>
      </c>
      <c r="P101" s="17">
        <f t="shared" si="44"/>
        <v>1</v>
      </c>
      <c r="Q101" s="17">
        <f t="shared" si="45"/>
        <v>1</v>
      </c>
      <c r="R101" s="17">
        <f>(1+$R$61)^(-R77)</f>
        <v>0.998964605799346</v>
      </c>
      <c r="S101" s="17">
        <f aca="true" t="shared" si="47" ref="S101:AF101">(1+$R$61)^(-S77)</f>
        <v>0.9979302836398425</v>
      </c>
      <c r="T101" s="17">
        <f t="shared" si="47"/>
        <v>0.996897032411505</v>
      </c>
      <c r="U101" s="17">
        <f t="shared" si="47"/>
        <v>0.9958648510054967</v>
      </c>
      <c r="V101" s="17">
        <f t="shared" si="47"/>
        <v>0.9948337383141306</v>
      </c>
      <c r="W101" s="17">
        <f t="shared" si="47"/>
        <v>0.993803693230865</v>
      </c>
      <c r="X101" s="17">
        <f t="shared" si="47"/>
        <v>0.9927747146503052</v>
      </c>
      <c r="Y101" s="17">
        <f t="shared" si="47"/>
        <v>0.9917468014682003</v>
      </c>
      <c r="Z101" s="17">
        <f t="shared" si="47"/>
        <v>0.9907199525814427</v>
      </c>
      <c r="AA101" s="17">
        <f t="shared" si="47"/>
        <v>0.9896941668880677</v>
      </c>
      <c r="AB101" s="17">
        <f t="shared" si="47"/>
        <v>0.9896941668880677</v>
      </c>
      <c r="AC101" s="17">
        <f t="shared" si="47"/>
        <v>0.9896941668880677</v>
      </c>
      <c r="AD101" s="17">
        <f t="shared" si="47"/>
        <v>0.9896941668880677</v>
      </c>
      <c r="AE101" s="17">
        <f t="shared" si="47"/>
        <v>0.9896941668880677</v>
      </c>
      <c r="AF101" s="17">
        <f t="shared" si="47"/>
        <v>0.9896941668880677</v>
      </c>
    </row>
    <row r="102" spans="1:32" ht="11.25">
      <c r="A102" s="31" t="s">
        <v>54</v>
      </c>
      <c r="B102" s="31"/>
      <c r="G102">
        <f t="shared" si="30"/>
        <v>2017</v>
      </c>
      <c r="J102" s="16">
        <f t="shared" si="33"/>
        <v>1</v>
      </c>
      <c r="K102" s="16">
        <f t="shared" si="34"/>
        <v>1</v>
      </c>
      <c r="L102" s="16">
        <f t="shared" si="34"/>
        <v>1</v>
      </c>
      <c r="M102" s="17">
        <f t="shared" si="38"/>
        <v>1</v>
      </c>
      <c r="N102" s="17">
        <f t="shared" si="40"/>
        <v>1</v>
      </c>
      <c r="O102" s="17">
        <f t="shared" si="42"/>
        <v>1</v>
      </c>
      <c r="P102" s="17">
        <f t="shared" si="44"/>
        <v>1</v>
      </c>
      <c r="Q102" s="17">
        <f t="shared" si="45"/>
        <v>1</v>
      </c>
      <c r="R102" s="17">
        <f>(1+$R$61)^(-R78)</f>
        <v>1</v>
      </c>
      <c r="S102" s="17">
        <f>(1+$S$61)^(-S78)</f>
        <v>0.9989966912800965</v>
      </c>
      <c r="T102" s="17">
        <f aca="true" t="shared" si="48" ref="T102:AF102">(1+$S$61)^(-T78)</f>
        <v>0.9979943891885803</v>
      </c>
      <c r="U102" s="17">
        <f t="shared" si="48"/>
        <v>0.9969930927154924</v>
      </c>
      <c r="V102" s="17">
        <f t="shared" si="48"/>
        <v>0.9959928008518875</v>
      </c>
      <c r="W102" s="17">
        <f t="shared" si="48"/>
        <v>0.9949935125898316</v>
      </c>
      <c r="X102" s="17">
        <f t="shared" si="48"/>
        <v>0.9939952269224027</v>
      </c>
      <c r="Y102" s="17">
        <f t="shared" si="48"/>
        <v>0.9929979428436889</v>
      </c>
      <c r="Z102" s="17">
        <f t="shared" si="48"/>
        <v>0.9920016593487875</v>
      </c>
      <c r="AA102" s="17">
        <f t="shared" si="48"/>
        <v>0.991006375433804</v>
      </c>
      <c r="AB102" s="17">
        <f t="shared" si="48"/>
        <v>0.9900120900958513</v>
      </c>
      <c r="AC102" s="17">
        <f t="shared" si="48"/>
        <v>0.9900120900958513</v>
      </c>
      <c r="AD102" s="17">
        <f t="shared" si="48"/>
        <v>0.9900120900958513</v>
      </c>
      <c r="AE102" s="17">
        <f t="shared" si="48"/>
        <v>0.9900120900958513</v>
      </c>
      <c r="AF102" s="17">
        <f t="shared" si="48"/>
        <v>0.9900120900958513</v>
      </c>
    </row>
    <row r="103" spans="1:32" ht="11.25">
      <c r="A103" s="31" t="s">
        <v>54</v>
      </c>
      <c r="B103" s="31"/>
      <c r="G103">
        <f t="shared" si="30"/>
        <v>2018</v>
      </c>
      <c r="J103" s="16">
        <f t="shared" si="33"/>
        <v>1</v>
      </c>
      <c r="K103" s="16">
        <f t="shared" si="34"/>
        <v>1</v>
      </c>
      <c r="L103" s="16">
        <f t="shared" si="34"/>
        <v>1</v>
      </c>
      <c r="M103" s="17">
        <f t="shared" si="38"/>
        <v>1</v>
      </c>
      <c r="N103" s="17">
        <f t="shared" si="40"/>
        <v>1</v>
      </c>
      <c r="O103" s="17">
        <f t="shared" si="42"/>
        <v>1</v>
      </c>
      <c r="P103" s="17">
        <f t="shared" si="44"/>
        <v>1</v>
      </c>
      <c r="Q103" s="17">
        <f t="shared" si="45"/>
        <v>1</v>
      </c>
      <c r="R103" s="17">
        <f>(1+$R$61)^(-R79)</f>
        <v>1</v>
      </c>
      <c r="S103" s="17">
        <f>(1+$S$61)^(-S79)</f>
        <v>1</v>
      </c>
      <c r="T103" s="17">
        <f>(1+$T$61)^(-T79)</f>
        <v>0.9990274221400328</v>
      </c>
      <c r="U103" s="17">
        <f aca="true" t="shared" si="49" ref="U103:AF103">(1+$T$61)^(-U79)</f>
        <v>0.9980557901877591</v>
      </c>
      <c r="V103" s="17">
        <f t="shared" si="49"/>
        <v>0.9970851032232102</v>
      </c>
      <c r="W103" s="17">
        <f t="shared" si="49"/>
        <v>0.9961153603273121</v>
      </c>
      <c r="X103" s="17">
        <f t="shared" si="49"/>
        <v>0.9951465605818843</v>
      </c>
      <c r="Y103" s="17">
        <f t="shared" si="49"/>
        <v>0.9941787030696398</v>
      </c>
      <c r="Z103" s="17">
        <f t="shared" si="49"/>
        <v>0.9932117868741833</v>
      </c>
      <c r="AA103" s="17">
        <f t="shared" si="49"/>
        <v>0.992245811080011</v>
      </c>
      <c r="AB103" s="17">
        <f t="shared" si="49"/>
        <v>0.9912807747725092</v>
      </c>
      <c r="AC103" s="17">
        <f t="shared" si="49"/>
        <v>0.9903166770379541</v>
      </c>
      <c r="AD103" s="17">
        <f t="shared" si="49"/>
        <v>0.9903166770379541</v>
      </c>
      <c r="AE103" s="17">
        <f t="shared" si="49"/>
        <v>0.9903166770379541</v>
      </c>
      <c r="AF103" s="17">
        <f t="shared" si="49"/>
        <v>0.9903166770379541</v>
      </c>
    </row>
    <row r="104" spans="1:32" ht="11.25">
      <c r="A104" s="31" t="s">
        <v>54</v>
      </c>
      <c r="B104" s="31"/>
      <c r="G104">
        <f t="shared" si="30"/>
        <v>2019</v>
      </c>
      <c r="J104" s="16">
        <f t="shared" si="33"/>
        <v>1</v>
      </c>
      <c r="K104" s="16">
        <f t="shared" si="34"/>
        <v>1</v>
      </c>
      <c r="L104" s="17">
        <f t="shared" si="36"/>
        <v>1</v>
      </c>
      <c r="M104" s="17">
        <f t="shared" si="38"/>
        <v>1</v>
      </c>
      <c r="N104" s="17">
        <f t="shared" si="40"/>
        <v>1</v>
      </c>
      <c r="O104" s="17">
        <f t="shared" si="42"/>
        <v>1</v>
      </c>
      <c r="P104" s="17">
        <f t="shared" si="44"/>
        <v>1</v>
      </c>
      <c r="Q104" s="17">
        <f t="shared" si="45"/>
        <v>1</v>
      </c>
      <c r="R104" s="17">
        <f>(1+$R$61)^(-R80)</f>
        <v>1</v>
      </c>
      <c r="S104" s="17">
        <f>(1+$S$61)^(-S80)</f>
        <v>1</v>
      </c>
      <c r="T104" s="17">
        <f>(1+$T$61)^(-T80)</f>
        <v>1</v>
      </c>
      <c r="U104" s="17">
        <f>(1+$U$61)^(-U80)</f>
        <v>0.999056881294983</v>
      </c>
      <c r="V104" s="17">
        <f aca="true" t="shared" si="50" ref="V104:AF104">(1+$U$61)^(-V80)</f>
        <v>0.9981146520628579</v>
      </c>
      <c r="W104" s="17">
        <f t="shared" si="50"/>
        <v>0.9971733114647457</v>
      </c>
      <c r="X104" s="17">
        <f t="shared" si="50"/>
        <v>0.9962328586625597</v>
      </c>
      <c r="Y104" s="17">
        <f t="shared" si="50"/>
        <v>0.9952932928190026</v>
      </c>
      <c r="Z104" s="17">
        <f t="shared" si="50"/>
        <v>0.994354613097567</v>
      </c>
      <c r="AA104" s="17">
        <f t="shared" si="50"/>
        <v>0.9934168186625348</v>
      </c>
      <c r="AB104" s="17">
        <f t="shared" si="50"/>
        <v>0.9924799086789757</v>
      </c>
      <c r="AC104" s="17">
        <f t="shared" si="50"/>
        <v>0.9915438823127471</v>
      </c>
      <c r="AD104" s="17">
        <f t="shared" si="50"/>
        <v>0.9906087387304929</v>
      </c>
      <c r="AE104" s="17">
        <f t="shared" si="50"/>
        <v>0.9906087387304929</v>
      </c>
      <c r="AF104" s="17">
        <f t="shared" si="50"/>
        <v>0.9906087387304929</v>
      </c>
    </row>
    <row r="105" spans="1:32" ht="11.25">
      <c r="A105" s="31" t="s">
        <v>54</v>
      </c>
      <c r="B105" s="31"/>
      <c r="G105">
        <f t="shared" si="30"/>
        <v>2020</v>
      </c>
      <c r="J105" s="16">
        <f t="shared" si="33"/>
        <v>1</v>
      </c>
      <c r="K105" s="16">
        <f t="shared" si="34"/>
        <v>1</v>
      </c>
      <c r="L105" s="17">
        <f t="shared" si="36"/>
        <v>1</v>
      </c>
      <c r="M105" s="17">
        <f t="shared" si="38"/>
        <v>1</v>
      </c>
      <c r="N105" s="17">
        <f t="shared" si="40"/>
        <v>1</v>
      </c>
      <c r="O105" s="17">
        <f t="shared" si="42"/>
        <v>1</v>
      </c>
      <c r="P105" s="17">
        <f t="shared" si="44"/>
        <v>1</v>
      </c>
      <c r="Q105" s="17">
        <f t="shared" si="45"/>
        <v>1</v>
      </c>
      <c r="R105" s="17">
        <f>(1+$R$61)^(-R81)</f>
        <v>1</v>
      </c>
      <c r="S105" s="17">
        <f>(1+$S$61)^(-S81)</f>
        <v>1</v>
      </c>
      <c r="T105" s="17">
        <f>(1+$T$61)^(-T81)</f>
        <v>1</v>
      </c>
      <c r="U105" s="17">
        <f>(1+$U$61)^(-U81)</f>
        <v>1</v>
      </c>
      <c r="V105" s="17">
        <f aca="true" t="shared" si="51" ref="V105:V113">(1+$V$61)^(-V81)</f>
        <v>0.9990851450213457</v>
      </c>
      <c r="W105" s="17">
        <f aca="true" t="shared" si="52" ref="W105:AF105">(1+$V$61)^(-W81)</f>
        <v>0.9981711270023237</v>
      </c>
      <c r="X105" s="17">
        <f t="shared" si="52"/>
        <v>0.9972579451772368</v>
      </c>
      <c r="Y105" s="17">
        <f t="shared" si="52"/>
        <v>0.9963455987810891</v>
      </c>
      <c r="Z105" s="17">
        <f t="shared" si="52"/>
        <v>0.9954340870495839</v>
      </c>
      <c r="AA105" s="17">
        <f t="shared" si="52"/>
        <v>0.9945234092191245</v>
      </c>
      <c r="AB105" s="17">
        <f t="shared" si="52"/>
        <v>0.9936135645268124</v>
      </c>
      <c r="AC105" s="17">
        <f t="shared" si="52"/>
        <v>0.9927045522104467</v>
      </c>
      <c r="AD105" s="17">
        <f t="shared" si="52"/>
        <v>0.9917963715085244</v>
      </c>
      <c r="AE105" s="17">
        <f t="shared" si="52"/>
        <v>0.9908890216602386</v>
      </c>
      <c r="AF105" s="17">
        <f t="shared" si="52"/>
        <v>0.9908890216602386</v>
      </c>
    </row>
    <row r="106" spans="1:32" ht="11.25">
      <c r="A106" s="31" t="s">
        <v>54</v>
      </c>
      <c r="B106" s="31"/>
      <c r="G106">
        <f aca="true" t="shared" si="53" ref="G106:G115">G82</f>
        <v>2021</v>
      </c>
      <c r="J106" s="16">
        <f t="shared" si="33"/>
        <v>1</v>
      </c>
      <c r="K106" s="16">
        <f t="shared" si="34"/>
        <v>1</v>
      </c>
      <c r="L106" s="17">
        <f t="shared" si="36"/>
        <v>1</v>
      </c>
      <c r="M106" s="17">
        <f t="shared" si="38"/>
        <v>1</v>
      </c>
      <c r="N106" s="17">
        <f t="shared" si="40"/>
        <v>1</v>
      </c>
      <c r="O106" s="17">
        <f t="shared" si="42"/>
        <v>1</v>
      </c>
      <c r="P106" s="17">
        <f t="shared" si="44"/>
        <v>1</v>
      </c>
      <c r="Q106" s="17">
        <f t="shared" si="45"/>
        <v>1</v>
      </c>
      <c r="R106" s="17">
        <f aca="true" t="shared" si="54" ref="R106:R115">(1+$R$61)^(-R82)</f>
        <v>1</v>
      </c>
      <c r="S106" s="17">
        <f aca="true" t="shared" si="55" ref="S106:S115">(1+$S$61)^(-S82)</f>
        <v>1</v>
      </c>
      <c r="T106" s="17">
        <f aca="true" t="shared" si="56" ref="T106:T115">(1+$T$61)^(-T82)</f>
        <v>1</v>
      </c>
      <c r="U106" s="17">
        <f aca="true" t="shared" si="57" ref="U106:U115">(1+$U$61)^(-U82)</f>
        <v>1</v>
      </c>
      <c r="V106" s="17">
        <f t="shared" si="51"/>
        <v>1</v>
      </c>
      <c r="W106" s="17">
        <f aca="true" t="shared" si="58" ref="W106:AF106">(1+$V$61)^(-W82)</f>
        <v>0.9990851450213457</v>
      </c>
      <c r="X106" s="17">
        <f t="shared" si="58"/>
        <v>0.9981711270023237</v>
      </c>
      <c r="Y106" s="17">
        <f t="shared" si="58"/>
        <v>0.9972579451772368</v>
      </c>
      <c r="Z106" s="17">
        <f t="shared" si="58"/>
        <v>0.9963455987810891</v>
      </c>
      <c r="AA106" s="17">
        <f t="shared" si="58"/>
        <v>0.9954340870495839</v>
      </c>
      <c r="AB106" s="17">
        <f t="shared" si="58"/>
        <v>0.9945234092191245</v>
      </c>
      <c r="AC106" s="17">
        <f t="shared" si="58"/>
        <v>0.9936135645268124</v>
      </c>
      <c r="AD106" s="17">
        <f t="shared" si="58"/>
        <v>0.9927045522104467</v>
      </c>
      <c r="AE106" s="17">
        <f t="shared" si="58"/>
        <v>0.9917963715085244</v>
      </c>
      <c r="AF106" s="17">
        <f t="shared" si="58"/>
        <v>0.9908890216602386</v>
      </c>
    </row>
    <row r="107" spans="1:32" ht="11.25">
      <c r="A107" s="31" t="s">
        <v>54</v>
      </c>
      <c r="B107" s="31"/>
      <c r="G107">
        <f t="shared" si="53"/>
        <v>2022</v>
      </c>
      <c r="J107" s="16">
        <f t="shared" si="33"/>
        <v>1</v>
      </c>
      <c r="K107" s="16">
        <f t="shared" si="34"/>
        <v>1</v>
      </c>
      <c r="L107" s="17">
        <f t="shared" si="36"/>
        <v>1</v>
      </c>
      <c r="M107" s="17">
        <f t="shared" si="38"/>
        <v>1</v>
      </c>
      <c r="N107" s="17">
        <f t="shared" si="40"/>
        <v>1</v>
      </c>
      <c r="O107" s="17">
        <f t="shared" si="42"/>
        <v>1</v>
      </c>
      <c r="P107" s="17">
        <f t="shared" si="44"/>
        <v>1</v>
      </c>
      <c r="Q107" s="17">
        <f t="shared" si="45"/>
        <v>1</v>
      </c>
      <c r="R107" s="17">
        <f t="shared" si="54"/>
        <v>1</v>
      </c>
      <c r="S107" s="17">
        <f t="shared" si="55"/>
        <v>1</v>
      </c>
      <c r="T107" s="17">
        <f t="shared" si="56"/>
        <v>1</v>
      </c>
      <c r="U107" s="17">
        <f t="shared" si="57"/>
        <v>1</v>
      </c>
      <c r="V107" s="17">
        <f t="shared" si="51"/>
        <v>1</v>
      </c>
      <c r="W107" s="17">
        <f aca="true" t="shared" si="59" ref="W107:AF107">(1+$V$61)^(-W83)</f>
        <v>1</v>
      </c>
      <c r="X107" s="17">
        <f t="shared" si="59"/>
        <v>0.9990851450213457</v>
      </c>
      <c r="Y107" s="17">
        <f t="shared" si="59"/>
        <v>0.9981711270023237</v>
      </c>
      <c r="Z107" s="17">
        <f t="shared" si="59"/>
        <v>0.9972579451772368</v>
      </c>
      <c r="AA107" s="17">
        <f t="shared" si="59"/>
        <v>0.9963455987810891</v>
      </c>
      <c r="AB107" s="17">
        <f t="shared" si="59"/>
        <v>0.9954340870495839</v>
      </c>
      <c r="AC107" s="17">
        <f t="shared" si="59"/>
        <v>0.9945234092191245</v>
      </c>
      <c r="AD107" s="17">
        <f t="shared" si="59"/>
        <v>0.9936135645268124</v>
      </c>
      <c r="AE107" s="17">
        <f t="shared" si="59"/>
        <v>0.9927045522104467</v>
      </c>
      <c r="AF107" s="17">
        <f t="shared" si="59"/>
        <v>0.9917963715085244</v>
      </c>
    </row>
    <row r="108" spans="1:32" ht="11.25">
      <c r="A108" s="31" t="s">
        <v>54</v>
      </c>
      <c r="B108" s="31"/>
      <c r="G108">
        <f t="shared" si="53"/>
        <v>2023</v>
      </c>
      <c r="J108" s="16">
        <f t="shared" si="33"/>
        <v>1</v>
      </c>
      <c r="K108" s="16">
        <f t="shared" si="34"/>
        <v>1</v>
      </c>
      <c r="L108" s="17">
        <f t="shared" si="36"/>
        <v>1</v>
      </c>
      <c r="M108" s="17">
        <f t="shared" si="38"/>
        <v>1</v>
      </c>
      <c r="N108" s="17">
        <f t="shared" si="40"/>
        <v>1</v>
      </c>
      <c r="O108" s="17">
        <f t="shared" si="42"/>
        <v>1</v>
      </c>
      <c r="P108" s="17">
        <f t="shared" si="44"/>
        <v>1</v>
      </c>
      <c r="Q108" s="17">
        <f t="shared" si="45"/>
        <v>1</v>
      </c>
      <c r="R108" s="17">
        <f t="shared" si="54"/>
        <v>1</v>
      </c>
      <c r="S108" s="17">
        <f t="shared" si="55"/>
        <v>1</v>
      </c>
      <c r="T108" s="17">
        <f t="shared" si="56"/>
        <v>1</v>
      </c>
      <c r="U108" s="17">
        <f t="shared" si="57"/>
        <v>1</v>
      </c>
      <c r="V108" s="17">
        <f t="shared" si="51"/>
        <v>1</v>
      </c>
      <c r="W108" s="17">
        <f aca="true" t="shared" si="60" ref="W108:AF108">(1+$V$61)^(-W84)</f>
        <v>1</v>
      </c>
      <c r="X108" s="17">
        <f t="shared" si="60"/>
        <v>1</v>
      </c>
      <c r="Y108" s="17">
        <f t="shared" si="60"/>
        <v>0.9990851450213457</v>
      </c>
      <c r="Z108" s="17">
        <f t="shared" si="60"/>
        <v>0.9981711270023237</v>
      </c>
      <c r="AA108" s="17">
        <f t="shared" si="60"/>
        <v>0.9972579451772368</v>
      </c>
      <c r="AB108" s="17">
        <f t="shared" si="60"/>
        <v>0.9963455987810891</v>
      </c>
      <c r="AC108" s="17">
        <f t="shared" si="60"/>
        <v>0.9954340870495839</v>
      </c>
      <c r="AD108" s="17">
        <f t="shared" si="60"/>
        <v>0.9945234092191245</v>
      </c>
      <c r="AE108" s="17">
        <f t="shared" si="60"/>
        <v>0.9936135645268124</v>
      </c>
      <c r="AF108" s="17">
        <f t="shared" si="60"/>
        <v>0.9927045522104467</v>
      </c>
    </row>
    <row r="109" spans="1:32" ht="11.25">
      <c r="A109" s="31" t="s">
        <v>54</v>
      </c>
      <c r="B109" s="31"/>
      <c r="G109">
        <f t="shared" si="53"/>
        <v>2024</v>
      </c>
      <c r="J109" s="16">
        <f t="shared" si="33"/>
        <v>1</v>
      </c>
      <c r="K109" s="16">
        <f t="shared" si="34"/>
        <v>1</v>
      </c>
      <c r="L109" s="17">
        <f t="shared" si="36"/>
        <v>1</v>
      </c>
      <c r="M109" s="17">
        <f t="shared" si="38"/>
        <v>1</v>
      </c>
      <c r="N109" s="17">
        <f t="shared" si="40"/>
        <v>1</v>
      </c>
      <c r="O109" s="17">
        <f t="shared" si="42"/>
        <v>1</v>
      </c>
      <c r="P109" s="17">
        <f t="shared" si="44"/>
        <v>1</v>
      </c>
      <c r="Q109" s="17">
        <f t="shared" si="45"/>
        <v>1</v>
      </c>
      <c r="R109" s="17">
        <f t="shared" si="54"/>
        <v>1</v>
      </c>
      <c r="S109" s="17">
        <f t="shared" si="55"/>
        <v>1</v>
      </c>
      <c r="T109" s="17">
        <f t="shared" si="56"/>
        <v>1</v>
      </c>
      <c r="U109" s="17">
        <f t="shared" si="57"/>
        <v>1</v>
      </c>
      <c r="V109" s="17">
        <f t="shared" si="51"/>
        <v>1</v>
      </c>
      <c r="W109" s="17">
        <f aca="true" t="shared" si="61" ref="W109:AF109">(1+$V$61)^(-W85)</f>
        <v>1</v>
      </c>
      <c r="X109" s="17">
        <f t="shared" si="61"/>
        <v>1</v>
      </c>
      <c r="Y109" s="17">
        <f t="shared" si="61"/>
        <v>1</v>
      </c>
      <c r="Z109" s="17">
        <f t="shared" si="61"/>
        <v>0.9990851450213457</v>
      </c>
      <c r="AA109" s="17">
        <f t="shared" si="61"/>
        <v>0.9981711270023237</v>
      </c>
      <c r="AB109" s="17">
        <f t="shared" si="61"/>
        <v>0.9972579451772368</v>
      </c>
      <c r="AC109" s="17">
        <f t="shared" si="61"/>
        <v>0.9963455987810891</v>
      </c>
      <c r="AD109" s="17">
        <f t="shared" si="61"/>
        <v>0.9954340870495839</v>
      </c>
      <c r="AE109" s="17">
        <f t="shared" si="61"/>
        <v>0.9945234092191245</v>
      </c>
      <c r="AF109" s="17">
        <f t="shared" si="61"/>
        <v>0.9936135645268124</v>
      </c>
    </row>
    <row r="110" spans="1:32" ht="11.25">
      <c r="A110" s="31" t="s">
        <v>54</v>
      </c>
      <c r="B110" s="31"/>
      <c r="G110">
        <f t="shared" si="53"/>
        <v>2025</v>
      </c>
      <c r="J110" s="16">
        <f t="shared" si="33"/>
        <v>1</v>
      </c>
      <c r="K110" s="16">
        <f t="shared" si="34"/>
        <v>1</v>
      </c>
      <c r="L110" s="17">
        <f t="shared" si="36"/>
        <v>1</v>
      </c>
      <c r="M110" s="17">
        <f t="shared" si="38"/>
        <v>1</v>
      </c>
      <c r="N110" s="17">
        <f t="shared" si="40"/>
        <v>1</v>
      </c>
      <c r="O110" s="17">
        <f t="shared" si="42"/>
        <v>1</v>
      </c>
      <c r="P110" s="17">
        <f t="shared" si="44"/>
        <v>1</v>
      </c>
      <c r="Q110" s="17">
        <f t="shared" si="45"/>
        <v>1</v>
      </c>
      <c r="R110" s="17">
        <f t="shared" si="54"/>
        <v>1</v>
      </c>
      <c r="S110" s="17">
        <f t="shared" si="55"/>
        <v>1</v>
      </c>
      <c r="T110" s="17">
        <f t="shared" si="56"/>
        <v>1</v>
      </c>
      <c r="U110" s="17">
        <f t="shared" si="57"/>
        <v>1</v>
      </c>
      <c r="V110" s="17">
        <f t="shared" si="51"/>
        <v>1</v>
      </c>
      <c r="W110" s="17">
        <f aca="true" t="shared" si="62" ref="W110:AF110">(1+$V$61)^(-W86)</f>
        <v>1</v>
      </c>
      <c r="X110" s="17">
        <f t="shared" si="62"/>
        <v>1</v>
      </c>
      <c r="Y110" s="17">
        <f t="shared" si="62"/>
        <v>1</v>
      </c>
      <c r="Z110" s="17">
        <f t="shared" si="62"/>
        <v>1</v>
      </c>
      <c r="AA110" s="17">
        <f t="shared" si="62"/>
        <v>0.9990851450213457</v>
      </c>
      <c r="AB110" s="17">
        <f t="shared" si="62"/>
        <v>0.9981711270023237</v>
      </c>
      <c r="AC110" s="17">
        <f t="shared" si="62"/>
        <v>0.9972579451772368</v>
      </c>
      <c r="AD110" s="17">
        <f t="shared" si="62"/>
        <v>0.9963455987810891</v>
      </c>
      <c r="AE110" s="17">
        <f t="shared" si="62"/>
        <v>0.9954340870495839</v>
      </c>
      <c r="AF110" s="17">
        <f t="shared" si="62"/>
        <v>0.9945234092191245</v>
      </c>
    </row>
    <row r="111" spans="1:32" ht="11.25">
      <c r="A111" s="31" t="s">
        <v>54</v>
      </c>
      <c r="B111" s="31"/>
      <c r="G111">
        <f t="shared" si="53"/>
        <v>2026</v>
      </c>
      <c r="J111" s="16">
        <f t="shared" si="33"/>
        <v>1</v>
      </c>
      <c r="K111" s="16">
        <f t="shared" si="34"/>
        <v>1</v>
      </c>
      <c r="L111" s="17">
        <f t="shared" si="36"/>
        <v>1</v>
      </c>
      <c r="M111" s="17">
        <f t="shared" si="38"/>
        <v>1</v>
      </c>
      <c r="N111" s="17">
        <f t="shared" si="40"/>
        <v>1</v>
      </c>
      <c r="O111" s="17">
        <f t="shared" si="42"/>
        <v>1</v>
      </c>
      <c r="P111" s="17">
        <f t="shared" si="44"/>
        <v>1</v>
      </c>
      <c r="Q111" s="17">
        <f t="shared" si="45"/>
        <v>1</v>
      </c>
      <c r="R111" s="17">
        <f t="shared" si="54"/>
        <v>1</v>
      </c>
      <c r="S111" s="17">
        <f t="shared" si="55"/>
        <v>1</v>
      </c>
      <c r="T111" s="17">
        <f t="shared" si="56"/>
        <v>1</v>
      </c>
      <c r="U111" s="17">
        <f t="shared" si="57"/>
        <v>1</v>
      </c>
      <c r="V111" s="17">
        <f t="shared" si="51"/>
        <v>1</v>
      </c>
      <c r="W111" s="17">
        <f aca="true" t="shared" si="63" ref="W111:AF111">(1+$V$61)^(-W87)</f>
        <v>1</v>
      </c>
      <c r="X111" s="17">
        <f t="shared" si="63"/>
        <v>1</v>
      </c>
      <c r="Y111" s="17">
        <f t="shared" si="63"/>
        <v>1</v>
      </c>
      <c r="Z111" s="17">
        <f t="shared" si="63"/>
        <v>1</v>
      </c>
      <c r="AA111" s="17">
        <f t="shared" si="63"/>
        <v>1</v>
      </c>
      <c r="AB111" s="17">
        <f t="shared" si="63"/>
        <v>0.9990851450213457</v>
      </c>
      <c r="AC111" s="17">
        <f t="shared" si="63"/>
        <v>0.9981711270023237</v>
      </c>
      <c r="AD111" s="17">
        <f t="shared" si="63"/>
        <v>0.9972579451772368</v>
      </c>
      <c r="AE111" s="17">
        <f t="shared" si="63"/>
        <v>0.9963455987810891</v>
      </c>
      <c r="AF111" s="17">
        <f t="shared" si="63"/>
        <v>0.9954340870495839</v>
      </c>
    </row>
    <row r="112" spans="1:32" ht="11.25">
      <c r="A112" s="31" t="s">
        <v>54</v>
      </c>
      <c r="B112" s="31"/>
      <c r="G112">
        <f t="shared" si="53"/>
        <v>2027</v>
      </c>
      <c r="J112" s="16">
        <f t="shared" si="33"/>
        <v>1</v>
      </c>
      <c r="K112" s="16">
        <f t="shared" si="34"/>
        <v>1</v>
      </c>
      <c r="L112" s="17">
        <f t="shared" si="36"/>
        <v>1</v>
      </c>
      <c r="M112" s="17">
        <f t="shared" si="38"/>
        <v>1</v>
      </c>
      <c r="N112" s="17">
        <f t="shared" si="40"/>
        <v>1</v>
      </c>
      <c r="O112" s="17">
        <f t="shared" si="42"/>
        <v>1</v>
      </c>
      <c r="P112" s="17">
        <f t="shared" si="44"/>
        <v>1</v>
      </c>
      <c r="Q112" s="17">
        <f t="shared" si="45"/>
        <v>1</v>
      </c>
      <c r="R112" s="17">
        <f t="shared" si="54"/>
        <v>1</v>
      </c>
      <c r="S112" s="17">
        <f t="shared" si="55"/>
        <v>1</v>
      </c>
      <c r="T112" s="17">
        <f t="shared" si="56"/>
        <v>1</v>
      </c>
      <c r="U112" s="17">
        <f t="shared" si="57"/>
        <v>1</v>
      </c>
      <c r="V112" s="17">
        <f t="shared" si="51"/>
        <v>1</v>
      </c>
      <c r="W112" s="17">
        <f aca="true" t="shared" si="64" ref="W112:AF112">(1+$V$61)^(-W88)</f>
        <v>1</v>
      </c>
      <c r="X112" s="17">
        <f t="shared" si="64"/>
        <v>1</v>
      </c>
      <c r="Y112" s="17">
        <f t="shared" si="64"/>
        <v>1</v>
      </c>
      <c r="Z112" s="17">
        <f t="shared" si="64"/>
        <v>1</v>
      </c>
      <c r="AA112" s="17">
        <f t="shared" si="64"/>
        <v>1</v>
      </c>
      <c r="AB112" s="17">
        <f t="shared" si="64"/>
        <v>1</v>
      </c>
      <c r="AC112" s="17">
        <f t="shared" si="64"/>
        <v>0.9990851450213457</v>
      </c>
      <c r="AD112" s="17">
        <f t="shared" si="64"/>
        <v>0.9981711270023237</v>
      </c>
      <c r="AE112" s="17">
        <f t="shared" si="64"/>
        <v>0.9972579451772368</v>
      </c>
      <c r="AF112" s="17">
        <f t="shared" si="64"/>
        <v>0.9963455987810891</v>
      </c>
    </row>
    <row r="113" spans="1:32" ht="11.25">
      <c r="A113" s="31" t="s">
        <v>54</v>
      </c>
      <c r="B113" s="31"/>
      <c r="G113">
        <f t="shared" si="53"/>
        <v>2028</v>
      </c>
      <c r="J113" s="16">
        <f t="shared" si="33"/>
        <v>1</v>
      </c>
      <c r="K113" s="16">
        <f t="shared" si="34"/>
        <v>1</v>
      </c>
      <c r="L113" s="17">
        <f t="shared" si="36"/>
        <v>1</v>
      </c>
      <c r="M113" s="17">
        <f t="shared" si="38"/>
        <v>1</v>
      </c>
      <c r="N113" s="17">
        <f t="shared" si="40"/>
        <v>1</v>
      </c>
      <c r="O113" s="17">
        <f t="shared" si="42"/>
        <v>1</v>
      </c>
      <c r="P113" s="17">
        <f t="shared" si="44"/>
        <v>1</v>
      </c>
      <c r="Q113" s="17">
        <f t="shared" si="45"/>
        <v>1</v>
      </c>
      <c r="R113" s="17">
        <f t="shared" si="54"/>
        <v>1</v>
      </c>
      <c r="S113" s="17">
        <f t="shared" si="55"/>
        <v>1</v>
      </c>
      <c r="T113" s="17">
        <f t="shared" si="56"/>
        <v>1</v>
      </c>
      <c r="U113" s="17">
        <f t="shared" si="57"/>
        <v>1</v>
      </c>
      <c r="V113" s="17">
        <f t="shared" si="51"/>
        <v>1</v>
      </c>
      <c r="W113" s="17">
        <f aca="true" t="shared" si="65" ref="W113:AF113">(1+$V$61)^(-W89)</f>
        <v>1</v>
      </c>
      <c r="X113" s="17">
        <f t="shared" si="65"/>
        <v>1</v>
      </c>
      <c r="Y113" s="17">
        <f t="shared" si="65"/>
        <v>1</v>
      </c>
      <c r="Z113" s="17">
        <f t="shared" si="65"/>
        <v>1</v>
      </c>
      <c r="AA113" s="17">
        <f t="shared" si="65"/>
        <v>1</v>
      </c>
      <c r="AB113" s="17">
        <f t="shared" si="65"/>
        <v>1</v>
      </c>
      <c r="AC113" s="17">
        <f t="shared" si="65"/>
        <v>1</v>
      </c>
      <c r="AD113" s="17">
        <f t="shared" si="65"/>
        <v>0.9990851450213457</v>
      </c>
      <c r="AE113" s="17">
        <f t="shared" si="65"/>
        <v>0.9981711270023237</v>
      </c>
      <c r="AF113" s="17">
        <f t="shared" si="65"/>
        <v>0.9972579451772368</v>
      </c>
    </row>
    <row r="114" spans="1:32" ht="11.25">
      <c r="A114" s="31" t="s">
        <v>54</v>
      </c>
      <c r="B114" s="31"/>
      <c r="G114">
        <f t="shared" si="53"/>
        <v>2029</v>
      </c>
      <c r="J114" s="16">
        <f t="shared" si="33"/>
        <v>1</v>
      </c>
      <c r="K114" s="16">
        <f t="shared" si="34"/>
        <v>1</v>
      </c>
      <c r="L114" s="17">
        <f t="shared" si="36"/>
        <v>1</v>
      </c>
      <c r="M114" s="17">
        <f t="shared" si="38"/>
        <v>1</v>
      </c>
      <c r="N114" s="17">
        <f t="shared" si="40"/>
        <v>1</v>
      </c>
      <c r="O114" s="17">
        <f t="shared" si="42"/>
        <v>1</v>
      </c>
      <c r="P114" s="17">
        <f t="shared" si="44"/>
        <v>1</v>
      </c>
      <c r="Q114" s="17">
        <f t="shared" si="45"/>
        <v>1</v>
      </c>
      <c r="R114" s="17">
        <f t="shared" si="54"/>
        <v>1</v>
      </c>
      <c r="S114" s="17">
        <f t="shared" si="55"/>
        <v>1</v>
      </c>
      <c r="T114" s="17">
        <f t="shared" si="56"/>
        <v>1</v>
      </c>
      <c r="U114" s="17">
        <f t="shared" si="57"/>
        <v>1</v>
      </c>
      <c r="V114" s="17">
        <f aca="true" t="shared" si="66" ref="V114:AF114">(1+$V$61)^(-V90)</f>
        <v>1</v>
      </c>
      <c r="W114" s="17">
        <f t="shared" si="66"/>
        <v>1</v>
      </c>
      <c r="X114" s="17">
        <f t="shared" si="66"/>
        <v>1</v>
      </c>
      <c r="Y114" s="17">
        <f t="shared" si="66"/>
        <v>1</v>
      </c>
      <c r="Z114" s="17">
        <f t="shared" si="66"/>
        <v>1</v>
      </c>
      <c r="AA114" s="17">
        <f t="shared" si="66"/>
        <v>1</v>
      </c>
      <c r="AB114" s="17">
        <f t="shared" si="66"/>
        <v>1</v>
      </c>
      <c r="AC114" s="17">
        <f t="shared" si="66"/>
        <v>1</v>
      </c>
      <c r="AD114" s="17">
        <f t="shared" si="66"/>
        <v>1</v>
      </c>
      <c r="AE114" s="17">
        <f t="shared" si="66"/>
        <v>0.9990851450213457</v>
      </c>
      <c r="AF114" s="17">
        <f t="shared" si="66"/>
        <v>0.9981711270023237</v>
      </c>
    </row>
    <row r="115" spans="1:32" ht="11.25">
      <c r="A115" s="31" t="s">
        <v>54</v>
      </c>
      <c r="B115" s="31"/>
      <c r="G115">
        <f t="shared" si="53"/>
        <v>2030</v>
      </c>
      <c r="J115" s="16">
        <f t="shared" si="33"/>
        <v>1</v>
      </c>
      <c r="K115" s="16">
        <f t="shared" si="34"/>
        <v>1</v>
      </c>
      <c r="L115" s="17">
        <f t="shared" si="36"/>
        <v>1</v>
      </c>
      <c r="M115" s="17">
        <f t="shared" si="38"/>
        <v>1</v>
      </c>
      <c r="N115" s="17">
        <f t="shared" si="40"/>
        <v>1</v>
      </c>
      <c r="O115" s="17">
        <f t="shared" si="42"/>
        <v>1</v>
      </c>
      <c r="P115" s="17">
        <f t="shared" si="44"/>
        <v>1</v>
      </c>
      <c r="Q115" s="17">
        <f t="shared" si="45"/>
        <v>1</v>
      </c>
      <c r="R115" s="17">
        <f t="shared" si="54"/>
        <v>1</v>
      </c>
      <c r="S115" s="17">
        <f t="shared" si="55"/>
        <v>1</v>
      </c>
      <c r="T115" s="17">
        <f t="shared" si="56"/>
        <v>1</v>
      </c>
      <c r="U115" s="17">
        <f t="shared" si="57"/>
        <v>1</v>
      </c>
      <c r="V115" s="17">
        <f aca="true" t="shared" si="67" ref="V115:AF115">(1+$V$61)^(-V91)</f>
        <v>1</v>
      </c>
      <c r="W115" s="17">
        <f t="shared" si="67"/>
        <v>1</v>
      </c>
      <c r="X115" s="17">
        <f t="shared" si="67"/>
        <v>1</v>
      </c>
      <c r="Y115" s="17">
        <f t="shared" si="67"/>
        <v>1</v>
      </c>
      <c r="Z115" s="17">
        <f t="shared" si="67"/>
        <v>1</v>
      </c>
      <c r="AA115" s="17">
        <f t="shared" si="67"/>
        <v>1</v>
      </c>
      <c r="AB115" s="17">
        <f t="shared" si="67"/>
        <v>1</v>
      </c>
      <c r="AC115" s="17">
        <f t="shared" si="67"/>
        <v>1</v>
      </c>
      <c r="AD115" s="17">
        <f t="shared" si="67"/>
        <v>1</v>
      </c>
      <c r="AE115" s="17">
        <f t="shared" si="67"/>
        <v>1</v>
      </c>
      <c r="AF115" s="17">
        <f t="shared" si="67"/>
        <v>0.9990851450213457</v>
      </c>
    </row>
    <row r="117" spans="1:32" ht="11.25">
      <c r="A117" t="s">
        <v>47</v>
      </c>
      <c r="J117" s="16">
        <f aca="true" t="shared" si="68" ref="J117:AF117">1-J93*J94*J95*J96*J97*J98*J99*J100*J101*J102*J103*J104*J105</f>
        <v>0.0013536780635796664</v>
      </c>
      <c r="K117" s="16">
        <f t="shared" si="68"/>
        <v>0.004008663334648888</v>
      </c>
      <c r="L117" s="16">
        <f t="shared" si="68"/>
        <v>0.007910232563272945</v>
      </c>
      <c r="M117" s="16">
        <f t="shared" si="68"/>
        <v>0.013001741000977729</v>
      </c>
      <c r="N117" s="16">
        <f t="shared" si="68"/>
        <v>0.019225031565285766</v>
      </c>
      <c r="O117" s="16">
        <f t="shared" si="68"/>
        <v>0.02652082121596011</v>
      </c>
      <c r="P117" s="16">
        <f t="shared" si="68"/>
        <v>0.034829063788542114</v>
      </c>
      <c r="Q117" s="16">
        <f t="shared" si="68"/>
        <v>0.04408928880640306</v>
      </c>
      <c r="R117" s="16">
        <f t="shared" si="68"/>
        <v>0.05424091604128123</v>
      </c>
      <c r="S117" s="16">
        <f t="shared" si="68"/>
        <v>0.06522354581487788</v>
      </c>
      <c r="T117" s="16">
        <f t="shared" si="68"/>
        <v>0.07572605586862813</v>
      </c>
      <c r="U117" s="16">
        <f t="shared" si="68"/>
        <v>0.08577788202135705</v>
      </c>
      <c r="V117" s="16">
        <f t="shared" si="68"/>
        <v>0.09540603868680564</v>
      </c>
      <c r="W117" s="16">
        <f t="shared" si="68"/>
        <v>0.1038398303557102</v>
      </c>
      <c r="X117" s="16">
        <f t="shared" si="68"/>
        <v>0.11114684028132193</v>
      </c>
      <c r="Y117" s="16">
        <f t="shared" si="68"/>
        <v>0.11738745439403164</v>
      </c>
      <c r="Z117" s="16">
        <f t="shared" si="68"/>
        <v>0.12261562235920176</v>
      </c>
      <c r="AA117" s="16">
        <f t="shared" si="68"/>
        <v>0.12687952124210222</v>
      </c>
      <c r="AB117" s="16">
        <f t="shared" si="68"/>
        <v>0.1302221355391464</v>
      </c>
      <c r="AC117" s="16">
        <f t="shared" si="68"/>
        <v>0.1326817651773715</v>
      </c>
      <c r="AD117" s="16">
        <f t="shared" si="68"/>
        <v>0.134292471296259</v>
      </c>
      <c r="AE117" s="16">
        <f t="shared" si="68"/>
        <v>0.13508446813895203</v>
      </c>
      <c r="AF117" s="16">
        <f t="shared" si="68"/>
        <v>0.13508446813895203</v>
      </c>
    </row>
    <row r="118" spans="10:32" ht="11.25">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row>
    <row r="120" spans="1:3" ht="12">
      <c r="A120" s="9" t="s">
        <v>88</v>
      </c>
      <c r="C120" t="s">
        <v>18</v>
      </c>
    </row>
    <row r="122" spans="1:7" ht="11.25">
      <c r="A122" s="138" t="s">
        <v>19</v>
      </c>
      <c r="B122" s="138"/>
      <c r="C122" s="138"/>
      <c r="D122" s="138"/>
      <c r="E122" s="138"/>
      <c r="F122" s="138"/>
      <c r="G122" s="138"/>
    </row>
    <row r="123" spans="1:7" ht="11.25">
      <c r="A123" s="138"/>
      <c r="B123" s="138"/>
      <c r="C123" s="138"/>
      <c r="D123" s="138"/>
      <c r="E123" s="138"/>
      <c r="F123" s="138"/>
      <c r="G123" s="138"/>
    </row>
    <row r="125" spans="1:6" ht="11.25">
      <c r="A125" s="14" t="s">
        <v>91</v>
      </c>
      <c r="E125" s="13"/>
      <c r="F125" s="13">
        <v>2020</v>
      </c>
    </row>
    <row r="127" spans="1:6" ht="11.25">
      <c r="A127" t="s">
        <v>89</v>
      </c>
      <c r="F127" s="52">
        <f>V24</f>
        <v>4775.547441685062</v>
      </c>
    </row>
    <row r="128" spans="1:6" ht="11.25">
      <c r="A128" t="s">
        <v>90</v>
      </c>
      <c r="F128" s="52">
        <f>V54</f>
        <v>4319.931377712981</v>
      </c>
    </row>
    <row r="129" spans="1:9" s="14" customFormat="1" ht="9.75">
      <c r="A129" s="14" t="s">
        <v>164</v>
      </c>
      <c r="F129" s="53">
        <f>F128/F127</f>
        <v>0.9045939613131943</v>
      </c>
      <c r="I129" s="81"/>
    </row>
    <row r="131" spans="1:6" ht="11.25">
      <c r="A131" t="s">
        <v>92</v>
      </c>
      <c r="F131" s="24">
        <f>V34</f>
        <v>1.273</v>
      </c>
    </row>
    <row r="132" spans="1:6" ht="11.25">
      <c r="A132" t="s">
        <v>94</v>
      </c>
      <c r="F132" s="24">
        <f>V46</f>
        <v>1.145156456596609</v>
      </c>
    </row>
    <row r="133" spans="1:9" s="14" customFormat="1" ht="9.75">
      <c r="A133" s="14" t="s">
        <v>164</v>
      </c>
      <c r="F133" s="53">
        <f>F132/F131</f>
        <v>0.8995730216784047</v>
      </c>
      <c r="I133" s="81"/>
    </row>
    <row r="134" ht="11.25">
      <c r="F134" s="24"/>
    </row>
    <row r="135" spans="1:6" ht="11.25">
      <c r="A135" s="3" t="s">
        <v>96</v>
      </c>
      <c r="F135" s="24"/>
    </row>
    <row r="136" spans="1:6" ht="11.25">
      <c r="A136" t="s">
        <v>93</v>
      </c>
      <c r="F136" s="24">
        <f>V40</f>
        <v>2925.3888508651603</v>
      </c>
    </row>
    <row r="137" spans="1:6" ht="11.25">
      <c r="A137" t="s">
        <v>95</v>
      </c>
      <c r="F137" s="24">
        <f>V56</f>
        <v>2380.5302720133413</v>
      </c>
    </row>
    <row r="138" spans="1:9" s="14" customFormat="1" ht="11.25">
      <c r="A138" s="14" t="s">
        <v>164</v>
      </c>
      <c r="F138" s="105">
        <f>F137/F136</f>
        <v>0.8137483231705482</v>
      </c>
      <c r="G138"/>
      <c r="H138"/>
      <c r="I138" s="33"/>
    </row>
    <row r="139" spans="6:9" s="14" customFormat="1" ht="11.25">
      <c r="F139" s="53"/>
      <c r="G139"/>
      <c r="H139"/>
      <c r="I139" s="33"/>
    </row>
    <row r="140" spans="1:9" s="14" customFormat="1" ht="11.25">
      <c r="A140" s="14" t="s">
        <v>163</v>
      </c>
      <c r="F140" s="105">
        <f>F133*F129</f>
        <v>0.813748323170548</v>
      </c>
      <c r="G140"/>
      <c r="H140"/>
      <c r="I140" s="33"/>
    </row>
    <row r="141" ht="11.25">
      <c r="F141" s="24"/>
    </row>
    <row r="142" spans="1:6" ht="11.25">
      <c r="A142" t="s">
        <v>97</v>
      </c>
      <c r="F142" s="24"/>
    </row>
    <row r="143" spans="1:6" ht="11.25">
      <c r="A143" t="s">
        <v>98</v>
      </c>
      <c r="F143" s="7">
        <f>(1-F129)/(1-F133)</f>
        <v>0.9500040754117773</v>
      </c>
    </row>
    <row r="145" spans="1:6" ht="12">
      <c r="A145" s="54" t="s">
        <v>99</v>
      </c>
      <c r="B145" s="55"/>
      <c r="C145" s="55"/>
      <c r="D145" s="55"/>
      <c r="E145" s="55"/>
      <c r="F145" s="56">
        <f>F143/(1+F143)</f>
        <v>0.4871805589489178</v>
      </c>
    </row>
    <row r="146" spans="1:6" ht="12">
      <c r="A146" s="57" t="s">
        <v>100</v>
      </c>
      <c r="B146" s="58"/>
      <c r="C146" s="58"/>
      <c r="D146" s="58"/>
      <c r="E146" s="58"/>
      <c r="F146" s="59">
        <f>1-F145</f>
        <v>0.5128194410510822</v>
      </c>
    </row>
  </sheetData>
  <mergeCells count="4">
    <mergeCell ref="A3:E5"/>
    <mergeCell ref="A64:K65"/>
    <mergeCell ref="L64:V67"/>
    <mergeCell ref="A122:G123"/>
  </mergeCells>
  <printOptions gridLines="1"/>
  <pageMargins left="0.5" right="0.5" top="0.52" bottom="0.75"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G148"/>
  <sheetViews>
    <sheetView workbookViewId="0" topLeftCell="A1">
      <selection activeCell="A3" sqref="A3:E5"/>
    </sheetView>
  </sheetViews>
  <sheetFormatPr defaultColWidth="9.140625" defaultRowHeight="12"/>
  <cols>
    <col min="6" max="6" width="9.140625" style="0" bestFit="1" customWidth="1"/>
    <col min="7" max="7" width="12.140625" style="0" customWidth="1"/>
    <col min="9" max="9" width="8.8515625" style="33" customWidth="1"/>
    <col min="10" max="10" width="8.8515625" style="0" customWidth="1"/>
    <col min="16" max="32" width="9.421875" style="0" customWidth="1"/>
  </cols>
  <sheetData>
    <row r="1" spans="1:3" ht="12.75">
      <c r="A1" s="1" t="s">
        <v>40</v>
      </c>
      <c r="C1" t="s">
        <v>174</v>
      </c>
    </row>
    <row r="2" ht="12.75">
      <c r="A2" s="1"/>
    </row>
    <row r="3" spans="1:10" ht="11.25">
      <c r="A3" s="138" t="s">
        <v>9</v>
      </c>
      <c r="B3" s="138"/>
      <c r="C3" s="138"/>
      <c r="D3" s="138"/>
      <c r="E3" s="138"/>
      <c r="G3" s="82" t="s">
        <v>43</v>
      </c>
      <c r="I3" s="82" t="s">
        <v>146</v>
      </c>
      <c r="J3" s="88" t="s">
        <v>149</v>
      </c>
    </row>
    <row r="4" spans="1:10" ht="11.25">
      <c r="A4" s="138"/>
      <c r="B4" s="138"/>
      <c r="C4" s="138"/>
      <c r="D4" s="138"/>
      <c r="E4" s="138"/>
      <c r="G4" s="83" t="s">
        <v>108</v>
      </c>
      <c r="I4" s="83" t="s">
        <v>147</v>
      </c>
      <c r="J4" s="68" t="s">
        <v>150</v>
      </c>
    </row>
    <row r="5" spans="1:10" ht="11.25">
      <c r="A5" s="138"/>
      <c r="B5" s="138"/>
      <c r="C5" s="138"/>
      <c r="D5" s="138"/>
      <c r="E5" s="138"/>
      <c r="G5" s="83" t="s">
        <v>109</v>
      </c>
      <c r="I5" s="83" t="s">
        <v>148</v>
      </c>
      <c r="J5" s="68" t="s">
        <v>151</v>
      </c>
    </row>
    <row r="6" spans="1:10" ht="12.75">
      <c r="A6" s="1"/>
      <c r="G6" s="83" t="s">
        <v>159</v>
      </c>
      <c r="I6" s="84" t="s">
        <v>158</v>
      </c>
      <c r="J6" s="89" t="s">
        <v>152</v>
      </c>
    </row>
    <row r="7" spans="7:32" ht="11.25">
      <c r="G7" s="98" t="s">
        <v>160</v>
      </c>
      <c r="H7" s="13"/>
      <c r="I7" s="95">
        <v>2007</v>
      </c>
      <c r="J7" s="96">
        <f>Summary!J71</f>
        <v>2008</v>
      </c>
      <c r="K7" s="13">
        <f aca="true" t="shared" si="0" ref="K7:AF7">J7+1</f>
        <v>2009</v>
      </c>
      <c r="L7" s="13">
        <f t="shared" si="0"/>
        <v>2010</v>
      </c>
      <c r="M7" s="13">
        <f t="shared" si="0"/>
        <v>2011</v>
      </c>
      <c r="N7" s="13">
        <f t="shared" si="0"/>
        <v>2012</v>
      </c>
      <c r="O7" s="13">
        <f t="shared" si="0"/>
        <v>2013</v>
      </c>
      <c r="P7" s="13">
        <f t="shared" si="0"/>
        <v>2014</v>
      </c>
      <c r="Q7" s="13">
        <f t="shared" si="0"/>
        <v>2015</v>
      </c>
      <c r="R7" s="13">
        <f t="shared" si="0"/>
        <v>2016</v>
      </c>
      <c r="S7" s="13">
        <f t="shared" si="0"/>
        <v>2017</v>
      </c>
      <c r="T7" s="13">
        <f t="shared" si="0"/>
        <v>2018</v>
      </c>
      <c r="U7" s="13">
        <f t="shared" si="0"/>
        <v>2019</v>
      </c>
      <c r="V7" s="13">
        <f t="shared" si="0"/>
        <v>2020</v>
      </c>
      <c r="W7" s="13">
        <f t="shared" si="0"/>
        <v>2021</v>
      </c>
      <c r="X7" s="13">
        <f t="shared" si="0"/>
        <v>2022</v>
      </c>
      <c r="Y7" s="13">
        <f t="shared" si="0"/>
        <v>2023</v>
      </c>
      <c r="Z7" s="13">
        <f t="shared" si="0"/>
        <v>2024</v>
      </c>
      <c r="AA7" s="13">
        <f t="shared" si="0"/>
        <v>2025</v>
      </c>
      <c r="AB7" s="13">
        <f t="shared" si="0"/>
        <v>2026</v>
      </c>
      <c r="AC7" s="13">
        <f t="shared" si="0"/>
        <v>2027</v>
      </c>
      <c r="AD7" s="13">
        <f t="shared" si="0"/>
        <v>2028</v>
      </c>
      <c r="AE7" s="13">
        <f t="shared" si="0"/>
        <v>2029</v>
      </c>
      <c r="AF7" s="13">
        <f t="shared" si="0"/>
        <v>2030</v>
      </c>
    </row>
    <row r="8" ht="12">
      <c r="A8" s="99" t="s">
        <v>161</v>
      </c>
    </row>
    <row r="9" ht="12">
      <c r="A9" s="109" t="s">
        <v>162</v>
      </c>
    </row>
    <row r="11" spans="1:7" ht="11.25">
      <c r="A11" t="s">
        <v>51</v>
      </c>
      <c r="G11" s="94">
        <f>Summary!H59</f>
        <v>10</v>
      </c>
    </row>
    <row r="12" spans="1:32" ht="11.25">
      <c r="A12" t="s">
        <v>145</v>
      </c>
      <c r="G12" s="2"/>
      <c r="I12" s="70" t="s">
        <v>157</v>
      </c>
      <c r="J12" s="63" t="str">
        <f>IF(J$7&gt;=$I$7,"YES","NO")</f>
        <v>YES</v>
      </c>
      <c r="K12" s="63" t="str">
        <f aca="true" t="shared" si="1" ref="K12:AF12">IF(K$7&gt;=$I$7,"YES","NO")</f>
        <v>YES</v>
      </c>
      <c r="L12" s="63" t="str">
        <f t="shared" si="1"/>
        <v>YES</v>
      </c>
      <c r="M12" s="63" t="str">
        <f t="shared" si="1"/>
        <v>YES</v>
      </c>
      <c r="N12" s="63" t="str">
        <f t="shared" si="1"/>
        <v>YES</v>
      </c>
      <c r="O12" s="63" t="str">
        <f t="shared" si="1"/>
        <v>YES</v>
      </c>
      <c r="P12" s="63" t="str">
        <f t="shared" si="1"/>
        <v>YES</v>
      </c>
      <c r="Q12" s="63" t="str">
        <f t="shared" si="1"/>
        <v>YES</v>
      </c>
      <c r="R12" s="63" t="str">
        <f t="shared" si="1"/>
        <v>YES</v>
      </c>
      <c r="S12" s="63" t="str">
        <f t="shared" si="1"/>
        <v>YES</v>
      </c>
      <c r="T12" s="63" t="str">
        <f t="shared" si="1"/>
        <v>YES</v>
      </c>
      <c r="U12" s="63" t="str">
        <f t="shared" si="1"/>
        <v>YES</v>
      </c>
      <c r="V12" s="63" t="str">
        <f t="shared" si="1"/>
        <v>YES</v>
      </c>
      <c r="W12" s="63" t="str">
        <f t="shared" si="1"/>
        <v>YES</v>
      </c>
      <c r="X12" s="63" t="str">
        <f t="shared" si="1"/>
        <v>YES</v>
      </c>
      <c r="Y12" s="63" t="str">
        <f t="shared" si="1"/>
        <v>YES</v>
      </c>
      <c r="Z12" s="63" t="str">
        <f t="shared" si="1"/>
        <v>YES</v>
      </c>
      <c r="AA12" s="63" t="str">
        <f t="shared" si="1"/>
        <v>YES</v>
      </c>
      <c r="AB12" s="63" t="str">
        <f t="shared" si="1"/>
        <v>YES</v>
      </c>
      <c r="AC12" s="63" t="str">
        <f t="shared" si="1"/>
        <v>YES</v>
      </c>
      <c r="AD12" s="63" t="str">
        <f t="shared" si="1"/>
        <v>YES</v>
      </c>
      <c r="AE12" s="63" t="str">
        <f t="shared" si="1"/>
        <v>YES</v>
      </c>
      <c r="AF12" s="63" t="str">
        <f t="shared" si="1"/>
        <v>YES</v>
      </c>
    </row>
    <row r="13" spans="1:32" ht="11.25">
      <c r="A13" t="s">
        <v>154</v>
      </c>
      <c r="G13" s="2"/>
      <c r="I13" s="70" t="s">
        <v>157</v>
      </c>
      <c r="J13" s="63" t="str">
        <f>IF(J$7&gt;Summary!$H68,"YES","NO")</f>
        <v>NO</v>
      </c>
      <c r="K13" s="63" t="str">
        <f>IF(K$7&gt;Summary!$H68,"YES","NO")</f>
        <v>NO</v>
      </c>
      <c r="L13" s="63" t="str">
        <f>IF(L$7&gt;Summary!$H68,"YES","NO")</f>
        <v>NO</v>
      </c>
      <c r="M13" s="63" t="str">
        <f>IF(M$7&gt;Summary!$H68,"YES","NO")</f>
        <v>NO</v>
      </c>
      <c r="N13" s="63" t="str">
        <f>IF(N$7&gt;Summary!$H68,"YES","NO")</f>
        <v>NO</v>
      </c>
      <c r="O13" s="63" t="str">
        <f>IF(O$7&gt;Summary!$H68,"YES","NO")</f>
        <v>NO</v>
      </c>
      <c r="P13" s="63" t="str">
        <f>IF(P$7&gt;Summary!$H68,"YES","NO")</f>
        <v>NO</v>
      </c>
      <c r="Q13" s="63" t="str">
        <f>IF(Q$7&gt;Summary!$H68,"YES","NO")</f>
        <v>NO</v>
      </c>
      <c r="R13" s="63" t="str">
        <f>IF(R$7&gt;Summary!$H68,"YES","NO")</f>
        <v>NO</v>
      </c>
      <c r="S13" s="63" t="str">
        <f>IF(S$7&gt;Summary!$H68,"YES","NO")</f>
        <v>NO</v>
      </c>
      <c r="T13" s="63" t="str">
        <f>IF(T$7&gt;Summary!$H68,"YES","NO")</f>
        <v>NO</v>
      </c>
      <c r="U13" s="63" t="str">
        <f>IF(U$7&gt;Summary!$H68,"YES","NO")</f>
        <v>NO</v>
      </c>
      <c r="V13" s="63" t="str">
        <f>IF(V$7&gt;Summary!$H68,"YES","NO")</f>
        <v>NO</v>
      </c>
      <c r="W13" s="63" t="str">
        <f>IF(W$7&gt;Summary!$H68,"YES","NO")</f>
        <v>NO</v>
      </c>
      <c r="X13" s="63" t="str">
        <f>IF(X$7&gt;Summary!$H68,"YES","NO")</f>
        <v>NO</v>
      </c>
      <c r="Y13" s="63" t="str">
        <f>IF(Y$7&gt;Summary!$H68,"YES","NO")</f>
        <v>NO</v>
      </c>
      <c r="Z13" s="63" t="str">
        <f>IF(Z$7&gt;Summary!$H68,"YES","NO")</f>
        <v>NO</v>
      </c>
      <c r="AA13" s="63" t="str">
        <f>IF(AA$7&gt;Summary!$H68,"YES","NO")</f>
        <v>NO</v>
      </c>
      <c r="AB13" s="63" t="str">
        <f>IF(AB$7&gt;Summary!$H68,"YES","NO")</f>
        <v>NO</v>
      </c>
      <c r="AC13" s="63" t="str">
        <f>IF(AC$7&gt;Summary!$H68,"YES","NO")</f>
        <v>NO</v>
      </c>
      <c r="AD13" s="63" t="str">
        <f>IF(AD$7&gt;Summary!$H68,"YES","NO")</f>
        <v>YES</v>
      </c>
      <c r="AE13" s="63" t="str">
        <f>IF(AE$7&gt;Summary!$H68,"YES","NO")</f>
        <v>YES</v>
      </c>
      <c r="AF13" s="63" t="str">
        <f>IF(AF$7&gt;Summary!$H68,"YES","NO")</f>
        <v>YES</v>
      </c>
    </row>
    <row r="14" spans="1:32" ht="11.25">
      <c r="A14" t="s">
        <v>153</v>
      </c>
      <c r="I14" s="33">
        <f>IF(I12="NO",0,(IF(I12="YES",H14+1,3)))</f>
        <v>0</v>
      </c>
      <c r="J14">
        <f aca="true" t="shared" si="2" ref="J14:W14">IF(J12="NO",0,(IF(AND(J12="YES",J13="NO"),I14+1,I14)))</f>
        <v>1</v>
      </c>
      <c r="K14">
        <f t="shared" si="2"/>
        <v>2</v>
      </c>
      <c r="L14">
        <f t="shared" si="2"/>
        <v>3</v>
      </c>
      <c r="M14">
        <f t="shared" si="2"/>
        <v>4</v>
      </c>
      <c r="N14">
        <f t="shared" si="2"/>
        <v>5</v>
      </c>
      <c r="O14">
        <f t="shared" si="2"/>
        <v>6</v>
      </c>
      <c r="P14">
        <f t="shared" si="2"/>
        <v>7</v>
      </c>
      <c r="Q14">
        <f t="shared" si="2"/>
        <v>8</v>
      </c>
      <c r="R14">
        <f t="shared" si="2"/>
        <v>9</v>
      </c>
      <c r="S14">
        <f t="shared" si="2"/>
        <v>10</v>
      </c>
      <c r="T14">
        <f t="shared" si="2"/>
        <v>11</v>
      </c>
      <c r="U14">
        <f t="shared" si="2"/>
        <v>12</v>
      </c>
      <c r="V14">
        <f t="shared" si="2"/>
        <v>13</v>
      </c>
      <c r="W14">
        <f t="shared" si="2"/>
        <v>14</v>
      </c>
      <c r="X14">
        <f aca="true" t="shared" si="3" ref="X14:AF14">IF(X12="NO",0,(IF(AND(X12="YES",X13="NO"),W14+1,W14)))</f>
        <v>15</v>
      </c>
      <c r="Y14">
        <f t="shared" si="3"/>
        <v>16</v>
      </c>
      <c r="Z14">
        <f t="shared" si="3"/>
        <v>17</v>
      </c>
      <c r="AA14">
        <f t="shared" si="3"/>
        <v>18</v>
      </c>
      <c r="AB14">
        <f t="shared" si="3"/>
        <v>19</v>
      </c>
      <c r="AC14">
        <f t="shared" si="3"/>
        <v>20</v>
      </c>
      <c r="AD14">
        <f t="shared" si="3"/>
        <v>20</v>
      </c>
      <c r="AE14">
        <f t="shared" si="3"/>
        <v>20</v>
      </c>
      <c r="AF14">
        <f t="shared" si="3"/>
        <v>20</v>
      </c>
    </row>
    <row r="15" spans="1:32" s="114" customFormat="1" ht="11.25">
      <c r="A15" s="114" t="s">
        <v>52</v>
      </c>
      <c r="G15" s="122"/>
      <c r="I15" s="116">
        <f aca="true" t="shared" si="4" ref="I15:W15">I14*$G$11</f>
        <v>0</v>
      </c>
      <c r="J15" s="116">
        <f t="shared" si="4"/>
        <v>10</v>
      </c>
      <c r="K15" s="116">
        <f t="shared" si="4"/>
        <v>20</v>
      </c>
      <c r="L15" s="116">
        <f t="shared" si="4"/>
        <v>30</v>
      </c>
      <c r="M15" s="116">
        <f t="shared" si="4"/>
        <v>40</v>
      </c>
      <c r="N15" s="116">
        <f t="shared" si="4"/>
        <v>50</v>
      </c>
      <c r="O15" s="116">
        <f t="shared" si="4"/>
        <v>60</v>
      </c>
      <c r="P15" s="116">
        <f t="shared" si="4"/>
        <v>70</v>
      </c>
      <c r="Q15" s="116">
        <f t="shared" si="4"/>
        <v>80</v>
      </c>
      <c r="R15" s="116">
        <f t="shared" si="4"/>
        <v>90</v>
      </c>
      <c r="S15" s="116">
        <f t="shared" si="4"/>
        <v>100</v>
      </c>
      <c r="T15" s="116">
        <f t="shared" si="4"/>
        <v>110</v>
      </c>
      <c r="U15" s="116">
        <f t="shared" si="4"/>
        <v>120</v>
      </c>
      <c r="V15" s="116">
        <f t="shared" si="4"/>
        <v>130</v>
      </c>
      <c r="W15" s="116">
        <f t="shared" si="4"/>
        <v>140</v>
      </c>
      <c r="X15" s="116">
        <f aca="true" t="shared" si="5" ref="X15:AF15">X14*$G$11</f>
        <v>150</v>
      </c>
      <c r="Y15" s="116">
        <f t="shared" si="5"/>
        <v>160</v>
      </c>
      <c r="Z15" s="116">
        <f t="shared" si="5"/>
        <v>170</v>
      </c>
      <c r="AA15" s="116">
        <f t="shared" si="5"/>
        <v>180</v>
      </c>
      <c r="AB15" s="116">
        <f t="shared" si="5"/>
        <v>190</v>
      </c>
      <c r="AC15" s="116">
        <f t="shared" si="5"/>
        <v>200</v>
      </c>
      <c r="AD15" s="116">
        <f t="shared" si="5"/>
        <v>200</v>
      </c>
      <c r="AE15" s="116">
        <f t="shared" si="5"/>
        <v>200</v>
      </c>
      <c r="AF15" s="116">
        <f t="shared" si="5"/>
        <v>200</v>
      </c>
    </row>
    <row r="16" spans="1:8" ht="11.25">
      <c r="A16" t="s">
        <v>53</v>
      </c>
      <c r="G16" s="23">
        <f>44/12</f>
        <v>3.6666666666666665</v>
      </c>
      <c r="H16" s="39"/>
    </row>
    <row r="17" spans="1:7" ht="11.25">
      <c r="A17" t="s">
        <v>44</v>
      </c>
      <c r="G17" s="20">
        <v>2205</v>
      </c>
    </row>
    <row r="19" spans="1:7" ht="12.75">
      <c r="A19" t="s">
        <v>59</v>
      </c>
      <c r="G19">
        <v>42.8</v>
      </c>
    </row>
    <row r="20" ht="11.25">
      <c r="A20" s="34" t="s">
        <v>60</v>
      </c>
    </row>
    <row r="21" spans="1:7" ht="11.25">
      <c r="A21" t="s">
        <v>61</v>
      </c>
      <c r="G21">
        <v>5.253</v>
      </c>
    </row>
    <row r="22" ht="11.25">
      <c r="A22" s="34" t="s">
        <v>60</v>
      </c>
    </row>
    <row r="23" spans="1:7" ht="11.25">
      <c r="A23" t="s">
        <v>62</v>
      </c>
      <c r="G23" s="25">
        <f>G21*1000000/42</f>
        <v>125071.42857142857</v>
      </c>
    </row>
    <row r="24" spans="1:7" ht="12">
      <c r="A24" s="9" t="s">
        <v>63</v>
      </c>
      <c r="G24" s="35">
        <f>G19*G23/1000000</f>
        <v>5.353057142857142</v>
      </c>
    </row>
    <row r="25" spans="1:32" ht="12">
      <c r="A25" s="9" t="s">
        <v>64</v>
      </c>
      <c r="G25" s="23">
        <f>G24*G16</f>
        <v>19.627876190476186</v>
      </c>
      <c r="H25" s="35"/>
      <c r="J25" s="24"/>
      <c r="K25" s="7"/>
      <c r="L25" s="7"/>
      <c r="M25" s="7"/>
      <c r="N25" s="7"/>
      <c r="O25" s="7"/>
      <c r="P25" s="7"/>
      <c r="Q25" s="7"/>
      <c r="R25" s="7"/>
      <c r="S25" s="7"/>
      <c r="T25" s="7"/>
      <c r="U25" s="7"/>
      <c r="V25" s="7"/>
      <c r="W25" s="7"/>
      <c r="X25" s="7"/>
      <c r="Y25" s="7"/>
      <c r="Z25" s="7"/>
      <c r="AA25" s="7"/>
      <c r="AB25" s="7"/>
      <c r="AC25" s="7"/>
      <c r="AD25" s="7"/>
      <c r="AE25" s="7"/>
      <c r="AF25" s="7"/>
    </row>
    <row r="26" spans="1:32" ht="12">
      <c r="A26" s="9"/>
      <c r="G26" s="23"/>
      <c r="H26" s="35"/>
      <c r="J26" s="24"/>
      <c r="K26" s="7"/>
      <c r="L26" s="7"/>
      <c r="M26" s="7"/>
      <c r="N26" s="7"/>
      <c r="O26" s="7"/>
      <c r="P26" s="7"/>
      <c r="Q26" s="7"/>
      <c r="R26" s="7"/>
      <c r="S26" s="7"/>
      <c r="T26" s="7"/>
      <c r="U26" s="7"/>
      <c r="V26" s="7"/>
      <c r="W26" s="7"/>
      <c r="X26" s="7"/>
      <c r="Y26" s="7"/>
      <c r="Z26" s="7"/>
      <c r="AA26" s="7"/>
      <c r="AB26" s="7"/>
      <c r="AC26" s="7"/>
      <c r="AD26" s="7"/>
      <c r="AE26" s="7"/>
      <c r="AF26" s="7"/>
    </row>
    <row r="27" spans="1:10" ht="11.25">
      <c r="A27" s="99" t="s">
        <v>190</v>
      </c>
      <c r="H27" s="99">
        <f>Summary!H65</f>
        <v>10</v>
      </c>
      <c r="I27" s="99" t="s">
        <v>144</v>
      </c>
      <c r="J27" s="129"/>
    </row>
    <row r="28" spans="1:32" ht="12">
      <c r="A28" s="9"/>
      <c r="G28" s="23"/>
      <c r="H28" s="35"/>
      <c r="J28" s="24"/>
      <c r="K28" s="7"/>
      <c r="L28" s="7"/>
      <c r="M28" s="7"/>
      <c r="N28" s="7"/>
      <c r="O28" s="7"/>
      <c r="P28" s="7"/>
      <c r="Q28" s="7"/>
      <c r="R28" s="7"/>
      <c r="S28" s="7"/>
      <c r="T28" s="7"/>
      <c r="U28" s="7"/>
      <c r="V28" s="7"/>
      <c r="W28" s="7"/>
      <c r="X28" s="7"/>
      <c r="Y28" s="7"/>
      <c r="Z28" s="7"/>
      <c r="AA28" s="7"/>
      <c r="AB28" s="7"/>
      <c r="AC28" s="7"/>
      <c r="AD28" s="7"/>
      <c r="AE28" s="7"/>
      <c r="AF28" s="7"/>
    </row>
    <row r="29" spans="1:32" ht="12">
      <c r="A29" s="9"/>
      <c r="G29" s="23"/>
      <c r="H29" s="35"/>
      <c r="N29" s="7"/>
      <c r="O29" s="7"/>
      <c r="P29" s="7"/>
      <c r="Q29" s="7"/>
      <c r="R29" s="7"/>
      <c r="S29" s="7"/>
      <c r="T29" s="7"/>
      <c r="U29" s="7"/>
      <c r="V29" s="7"/>
      <c r="W29" s="7"/>
      <c r="X29" s="7"/>
      <c r="Y29" s="7"/>
      <c r="Z29" s="7"/>
      <c r="AA29" s="7"/>
      <c r="AB29" s="7"/>
      <c r="AC29" s="7"/>
      <c r="AD29" s="7"/>
      <c r="AE29" s="7"/>
      <c r="AF29" s="7"/>
    </row>
    <row r="30" spans="1:7" ht="11.25">
      <c r="A30" t="s">
        <v>192</v>
      </c>
      <c r="G30" s="125">
        <f>9232.661*365</f>
        <v>3369921.265</v>
      </c>
    </row>
    <row r="31" spans="1:18" ht="11.25">
      <c r="A31" s="3" t="s">
        <v>193</v>
      </c>
      <c r="R31" s="4"/>
    </row>
    <row r="32" spans="1:18" ht="11.25">
      <c r="A32" t="s">
        <v>194</v>
      </c>
      <c r="G32" s="25">
        <f>G30*42/1000</f>
        <v>141536.69313</v>
      </c>
      <c r="R32" s="6"/>
    </row>
    <row r="33" ht="11.25">
      <c r="I33" s="79"/>
    </row>
    <row r="34" spans="1:7" ht="11.25">
      <c r="A34" s="101" t="s">
        <v>42</v>
      </c>
      <c r="G34" s="101">
        <v>0.01</v>
      </c>
    </row>
    <row r="35" spans="1:7" ht="11.25">
      <c r="A35" s="3" t="s">
        <v>17</v>
      </c>
      <c r="G35" s="5"/>
    </row>
    <row r="37" spans="1:32" ht="11.25">
      <c r="A37" t="s">
        <v>69</v>
      </c>
      <c r="I37" s="72">
        <f>G32*(1+G34)</f>
        <v>142952.0600613</v>
      </c>
      <c r="J37" s="25">
        <f>G32*(1+G34)^3</f>
        <v>145825.39646853213</v>
      </c>
      <c r="K37" s="25">
        <f>J37*(1+$G$34)</f>
        <v>147283.65043321744</v>
      </c>
      <c r="L37" s="25">
        <f aca="true" t="shared" si="6" ref="L37:AF37">K37*(1+$G$34)</f>
        <v>148756.4869375496</v>
      </c>
      <c r="M37" s="25">
        <f t="shared" si="6"/>
        <v>150244.0518069251</v>
      </c>
      <c r="N37" s="25">
        <f t="shared" si="6"/>
        <v>151746.49232499435</v>
      </c>
      <c r="O37" s="25">
        <f t="shared" si="6"/>
        <v>153263.9572482443</v>
      </c>
      <c r="P37" s="25">
        <f t="shared" si="6"/>
        <v>154796.59682072673</v>
      </c>
      <c r="Q37" s="25">
        <f t="shared" si="6"/>
        <v>156344.562788934</v>
      </c>
      <c r="R37" s="25">
        <f t="shared" si="6"/>
        <v>157908.00841682334</v>
      </c>
      <c r="S37" s="25">
        <f t="shared" si="6"/>
        <v>159487.08850099158</v>
      </c>
      <c r="T37" s="25">
        <f t="shared" si="6"/>
        <v>161081.9593860015</v>
      </c>
      <c r="U37" s="25">
        <f t="shared" si="6"/>
        <v>162692.7789798615</v>
      </c>
      <c r="V37" s="25">
        <f t="shared" si="6"/>
        <v>164319.70676966012</v>
      </c>
      <c r="W37" s="25">
        <f t="shared" si="6"/>
        <v>165962.90383735672</v>
      </c>
      <c r="X37" s="25">
        <f t="shared" si="6"/>
        <v>167622.53287573028</v>
      </c>
      <c r="Y37" s="25">
        <f t="shared" si="6"/>
        <v>169298.7582044876</v>
      </c>
      <c r="Z37" s="25">
        <f t="shared" si="6"/>
        <v>170991.74578653247</v>
      </c>
      <c r="AA37" s="25">
        <f t="shared" si="6"/>
        <v>172701.6632443978</v>
      </c>
      <c r="AB37" s="25">
        <f t="shared" si="6"/>
        <v>174428.67987684178</v>
      </c>
      <c r="AC37" s="25">
        <f t="shared" si="6"/>
        <v>176172.9666756102</v>
      </c>
      <c r="AD37" s="25">
        <f t="shared" si="6"/>
        <v>177934.6963423663</v>
      </c>
      <c r="AE37" s="25">
        <f t="shared" si="6"/>
        <v>179714.04330578996</v>
      </c>
      <c r="AF37" s="25">
        <f t="shared" si="6"/>
        <v>181511.18373884787</v>
      </c>
    </row>
    <row r="38" spans="1:7" ht="11.25">
      <c r="A38" s="3" t="s">
        <v>138</v>
      </c>
      <c r="G38" s="5"/>
    </row>
    <row r="40" spans="1:33" ht="12">
      <c r="A40" t="s">
        <v>49</v>
      </c>
      <c r="G40" s="19"/>
      <c r="I40" s="29">
        <f aca="true" t="shared" si="7" ref="I40:AF40">I37*$G$25/$G$17</f>
        <v>1272.4922158987356</v>
      </c>
      <c r="J40" s="19">
        <f t="shared" si="7"/>
        <v>1298.0693094383003</v>
      </c>
      <c r="K40" s="19">
        <f t="shared" si="7"/>
        <v>1311.0500025326833</v>
      </c>
      <c r="L40" s="19">
        <f t="shared" si="7"/>
        <v>1324.1605025580097</v>
      </c>
      <c r="M40" s="19">
        <f t="shared" si="7"/>
        <v>1337.40210758359</v>
      </c>
      <c r="N40" s="19">
        <f t="shared" si="7"/>
        <v>1350.776128659426</v>
      </c>
      <c r="O40" s="19">
        <f t="shared" si="7"/>
        <v>1364.28388994602</v>
      </c>
      <c r="P40" s="19">
        <f t="shared" si="7"/>
        <v>1377.9267288454803</v>
      </c>
      <c r="Q40" s="19">
        <f t="shared" si="7"/>
        <v>1391.705996133935</v>
      </c>
      <c r="R40" s="19">
        <f t="shared" si="7"/>
        <v>1405.6230560952745</v>
      </c>
      <c r="S40" s="19">
        <f t="shared" si="7"/>
        <v>1419.679286656227</v>
      </c>
      <c r="T40" s="19">
        <f t="shared" si="7"/>
        <v>1433.8760795227895</v>
      </c>
      <c r="U40" s="19">
        <f t="shared" si="7"/>
        <v>1448.2148403180172</v>
      </c>
      <c r="V40" s="19">
        <f t="shared" si="7"/>
        <v>1462.6969887211974</v>
      </c>
      <c r="W40" s="19">
        <f t="shared" si="7"/>
        <v>1477.3239586084094</v>
      </c>
      <c r="X40" s="19">
        <f t="shared" si="7"/>
        <v>1492.0971981944936</v>
      </c>
      <c r="Y40" s="19">
        <f t="shared" si="7"/>
        <v>1507.0181701764384</v>
      </c>
      <c r="Z40" s="19">
        <f t="shared" si="7"/>
        <v>1522.0883518782027</v>
      </c>
      <c r="AA40" s="19">
        <f t="shared" si="7"/>
        <v>1537.3092353969848</v>
      </c>
      <c r="AB40" s="19">
        <f t="shared" si="7"/>
        <v>1552.682327750955</v>
      </c>
      <c r="AC40" s="19">
        <f t="shared" si="7"/>
        <v>1568.2091510284642</v>
      </c>
      <c r="AD40" s="19">
        <f t="shared" si="7"/>
        <v>1583.8912425387493</v>
      </c>
      <c r="AE40" s="19">
        <f t="shared" si="7"/>
        <v>1599.7301549641365</v>
      </c>
      <c r="AF40" s="19">
        <f t="shared" si="7"/>
        <v>1615.7274565137782</v>
      </c>
      <c r="AG40" s="19"/>
    </row>
    <row r="42" spans="1:7" ht="11.25">
      <c r="A42" s="101" t="s">
        <v>110</v>
      </c>
      <c r="G42" s="102">
        <v>0.01</v>
      </c>
    </row>
    <row r="43" spans="1:7" ht="11.25">
      <c r="A43" s="3" t="s">
        <v>116</v>
      </c>
      <c r="G43" s="5"/>
    </row>
    <row r="44" spans="1:7" ht="11.25">
      <c r="A44" t="s">
        <v>130</v>
      </c>
      <c r="G44" s="17">
        <f>G42*Summary!H59/37</f>
        <v>0.002702702702702703</v>
      </c>
    </row>
    <row r="45" spans="1:33" ht="11.25">
      <c r="A45" t="s">
        <v>79</v>
      </c>
      <c r="E45" s="2"/>
      <c r="F45" s="37"/>
      <c r="H45" s="22">
        <f>G24*G11/2000+H27/100</f>
        <v>0.12676528571428572</v>
      </c>
      <c r="J45" s="36">
        <f aca="true" t="shared" si="8" ref="J45:AF45">J49*J15/(2000*$G$16)+J14*$H27/100</f>
        <v>0.1266929471042471</v>
      </c>
      <c r="K45" s="36">
        <f t="shared" si="8"/>
        <v>0.2532416080079307</v>
      </c>
      <c r="L45" s="36">
        <f t="shared" si="8"/>
        <v>0.3796465676551071</v>
      </c>
      <c r="M45" s="36">
        <f t="shared" si="8"/>
        <v>0.5059084088819263</v>
      </c>
      <c r="N45" s="36">
        <f t="shared" si="8"/>
        <v>0.6320277124237527</v>
      </c>
      <c r="O45" s="36">
        <f t="shared" si="8"/>
        <v>0.758005056922264</v>
      </c>
      <c r="P45" s="36">
        <f t="shared" si="8"/>
        <v>0.8838410189325261</v>
      </c>
      <c r="Q45" s="36">
        <f t="shared" si="8"/>
        <v>1.0095361729300454</v>
      </c>
      <c r="R45" s="36">
        <f t="shared" si="8"/>
        <v>1.1350910913177974</v>
      </c>
      <c r="S45" s="36">
        <f t="shared" si="8"/>
        <v>1.260506344433235</v>
      </c>
      <c r="T45" s="36">
        <f t="shared" si="8"/>
        <v>1.3857825005552704</v>
      </c>
      <c r="U45" s="36">
        <f t="shared" si="8"/>
        <v>1.5109201259112377</v>
      </c>
      <c r="V45" s="36">
        <f t="shared" si="8"/>
        <v>1.6359197846838305</v>
      </c>
      <c r="W45" s="36">
        <f t="shared" si="8"/>
        <v>1.7607820390180184</v>
      </c>
      <c r="X45" s="36">
        <f t="shared" si="8"/>
        <v>1.8855074490279407</v>
      </c>
      <c r="Y45" s="36">
        <f t="shared" si="8"/>
        <v>2.0100965728037767</v>
      </c>
      <c r="Z45" s="36">
        <f t="shared" si="8"/>
        <v>2.1345499664185965</v>
      </c>
      <c r="AA45" s="36">
        <f t="shared" si="8"/>
        <v>2.258868183935186</v>
      </c>
      <c r="AB45" s="36">
        <f t="shared" si="8"/>
        <v>2.383051777412851</v>
      </c>
      <c r="AC45" s="36">
        <f t="shared" si="8"/>
        <v>2.507101296914202</v>
      </c>
      <c r="AD45" s="36">
        <f t="shared" si="8"/>
        <v>2.507101296914202</v>
      </c>
      <c r="AE45" s="36">
        <f t="shared" si="8"/>
        <v>2.507101296914202</v>
      </c>
      <c r="AF45" s="36">
        <f t="shared" si="8"/>
        <v>2.507101296914202</v>
      </c>
      <c r="AG45" s="36"/>
    </row>
    <row r="46" spans="1:32" ht="11.25">
      <c r="A46" t="s">
        <v>67</v>
      </c>
      <c r="H46" s="36">
        <v>3</v>
      </c>
      <c r="I46" s="90"/>
      <c r="J46" s="36">
        <f aca="true" t="shared" si="9" ref="J46:AF46">$H$46+J45</f>
        <v>3.1266929471042473</v>
      </c>
      <c r="K46" s="36">
        <f t="shared" si="9"/>
        <v>3.2532416080079307</v>
      </c>
      <c r="L46" s="36">
        <f t="shared" si="9"/>
        <v>3.379646567655107</v>
      </c>
      <c r="M46" s="36">
        <f t="shared" si="9"/>
        <v>3.5059084088819263</v>
      </c>
      <c r="N46" s="36">
        <f t="shared" si="9"/>
        <v>3.6320277124237528</v>
      </c>
      <c r="O46" s="36">
        <f t="shared" si="9"/>
        <v>3.758005056922264</v>
      </c>
      <c r="P46" s="36">
        <f t="shared" si="9"/>
        <v>3.883841018932526</v>
      </c>
      <c r="Q46" s="36">
        <f t="shared" si="9"/>
        <v>4.009536172930045</v>
      </c>
      <c r="R46" s="36">
        <f t="shared" si="9"/>
        <v>4.135091091317797</v>
      </c>
      <c r="S46" s="36">
        <f t="shared" si="9"/>
        <v>4.260506344433235</v>
      </c>
      <c r="T46" s="36">
        <f t="shared" si="9"/>
        <v>4.385782500555271</v>
      </c>
      <c r="U46" s="36">
        <f t="shared" si="9"/>
        <v>4.5109201259112375</v>
      </c>
      <c r="V46" s="36">
        <f t="shared" si="9"/>
        <v>4.63591978468383</v>
      </c>
      <c r="W46" s="36">
        <f t="shared" si="9"/>
        <v>4.760782039018018</v>
      </c>
      <c r="X46" s="36">
        <f t="shared" si="9"/>
        <v>4.885507449027941</v>
      </c>
      <c r="Y46" s="36">
        <f t="shared" si="9"/>
        <v>5.010096572803777</v>
      </c>
      <c r="Z46" s="36">
        <f t="shared" si="9"/>
        <v>5.1345499664185965</v>
      </c>
      <c r="AA46" s="36">
        <f t="shared" si="9"/>
        <v>5.258868183935186</v>
      </c>
      <c r="AB46" s="36">
        <f t="shared" si="9"/>
        <v>5.383051777412851</v>
      </c>
      <c r="AC46" s="36">
        <f t="shared" si="9"/>
        <v>5.507101296914202</v>
      </c>
      <c r="AD46" s="36">
        <f t="shared" si="9"/>
        <v>5.507101296914202</v>
      </c>
      <c r="AE46" s="36">
        <f t="shared" si="9"/>
        <v>5.507101296914202</v>
      </c>
      <c r="AF46" s="36">
        <f t="shared" si="9"/>
        <v>5.507101296914202</v>
      </c>
    </row>
    <row r="47" ht="11.25">
      <c r="A47" s="3" t="s">
        <v>191</v>
      </c>
    </row>
    <row r="49" spans="1:32" ht="11.25">
      <c r="A49" t="s">
        <v>70</v>
      </c>
      <c r="G49" s="23">
        <f>G25</f>
        <v>19.627876190476186</v>
      </c>
      <c r="I49" s="74">
        <f aca="true" t="shared" si="10" ref="I49:AF49">$G$49*(1-$G$44)^(I15/$G$11)</f>
        <v>19.627876190476186</v>
      </c>
      <c r="J49" s="7">
        <f t="shared" si="10"/>
        <v>19.574827876447873</v>
      </c>
      <c r="K49" s="7">
        <f t="shared" si="10"/>
        <v>19.521922936241257</v>
      </c>
      <c r="L49" s="7">
        <f t="shared" si="10"/>
        <v>19.469160982359526</v>
      </c>
      <c r="M49" s="7">
        <f t="shared" si="10"/>
        <v>19.416541628353148</v>
      </c>
      <c r="N49" s="7">
        <f t="shared" si="10"/>
        <v>19.36406448881706</v>
      </c>
      <c r="O49" s="7">
        <f t="shared" si="10"/>
        <v>19.311729179387825</v>
      </c>
      <c r="P49" s="7">
        <f t="shared" si="10"/>
        <v>19.259535316740834</v>
      </c>
      <c r="Q49" s="7">
        <f t="shared" si="10"/>
        <v>19.20748251858748</v>
      </c>
      <c r="R49" s="7">
        <f t="shared" si="10"/>
        <v>19.155570403672378</v>
      </c>
      <c r="S49" s="7">
        <f t="shared" si="10"/>
        <v>19.103798591770563</v>
      </c>
      <c r="T49" s="7">
        <f t="shared" si="10"/>
        <v>19.052166703684698</v>
      </c>
      <c r="U49" s="7">
        <f t="shared" si="10"/>
        <v>19.000674361242307</v>
      </c>
      <c r="V49" s="7">
        <f t="shared" si="10"/>
        <v>18.949321187293002</v>
      </c>
      <c r="W49" s="7">
        <f t="shared" si="10"/>
        <v>18.898106805705726</v>
      </c>
      <c r="X49" s="7">
        <f t="shared" si="10"/>
        <v>18.84703084136598</v>
      </c>
      <c r="Y49" s="7">
        <f t="shared" si="10"/>
        <v>18.796092920173102</v>
      </c>
      <c r="Z49" s="7">
        <f t="shared" si="10"/>
        <v>18.7452926690375</v>
      </c>
      <c r="AA49" s="7">
        <f t="shared" si="10"/>
        <v>18.69462971587794</v>
      </c>
      <c r="AB49" s="7">
        <f t="shared" si="10"/>
        <v>18.64410368961881</v>
      </c>
      <c r="AC49" s="7">
        <f t="shared" si="10"/>
        <v>18.593714220187408</v>
      </c>
      <c r="AD49" s="7">
        <f t="shared" si="10"/>
        <v>18.593714220187408</v>
      </c>
      <c r="AE49" s="7">
        <f t="shared" si="10"/>
        <v>18.593714220187408</v>
      </c>
      <c r="AF49" s="7">
        <f t="shared" si="10"/>
        <v>18.593714220187408</v>
      </c>
    </row>
    <row r="50" spans="1:8" ht="12">
      <c r="A50" s="9"/>
      <c r="B50" s="9"/>
      <c r="C50" s="9"/>
      <c r="D50" s="9"/>
      <c r="E50" s="9"/>
      <c r="F50" s="9"/>
      <c r="H50" s="38"/>
    </row>
    <row r="51" spans="1:33" s="9" customFormat="1" ht="12">
      <c r="A51" s="45" t="s">
        <v>113</v>
      </c>
      <c r="G51" s="27"/>
      <c r="I51" s="78"/>
      <c r="J51" s="28"/>
      <c r="K51" s="28"/>
      <c r="L51" s="28"/>
      <c r="M51" s="28"/>
      <c r="N51" s="28"/>
      <c r="O51" s="28"/>
      <c r="P51" s="28"/>
      <c r="Q51" s="28"/>
      <c r="R51" s="28"/>
      <c r="S51" s="28"/>
      <c r="T51" s="28"/>
      <c r="U51" s="28"/>
      <c r="V51" s="28"/>
      <c r="W51" s="28"/>
      <c r="X51" s="28"/>
      <c r="Y51" s="28"/>
      <c r="Z51" s="28"/>
      <c r="AA51" s="28"/>
      <c r="AB51" s="28"/>
      <c r="AC51" s="28"/>
      <c r="AD51" s="28"/>
      <c r="AE51" s="28"/>
      <c r="AF51" s="28"/>
      <c r="AG51" s="28"/>
    </row>
    <row r="52" spans="1:32" s="9" customFormat="1" ht="12">
      <c r="A52" s="9" t="s">
        <v>195</v>
      </c>
      <c r="G52" s="27"/>
      <c r="I52" s="76"/>
      <c r="J52" s="28">
        <f>J120*J37</f>
        <v>241.07499217383014</v>
      </c>
      <c r="K52" s="28">
        <f>K120*K37</f>
        <v>719.3572488368434</v>
      </c>
      <c r="L52" s="28">
        <f>L120*L37</f>
        <v>1430.4350835914927</v>
      </c>
      <c r="M52" s="28">
        <f>M120*M37</f>
        <v>2369.394284751386</v>
      </c>
      <c r="N52" s="28">
        <f>N120*N37</f>
        <v>3530.860519566675</v>
      </c>
      <c r="O52" s="28">
        <f>O120*O37</f>
        <v>4909.042202737237</v>
      </c>
      <c r="P52" s="28">
        <f>P120*P37</f>
        <v>6497.773403327619</v>
      </c>
      <c r="Q52" s="28">
        <f>Q120*Q37</f>
        <v>8290.556430204791</v>
      </c>
      <c r="R52" s="28">
        <f>R120*R37</f>
        <v>10280.603791162765</v>
      </c>
      <c r="S52" s="28">
        <f>S120*S37</f>
        <v>12460.87926758336</v>
      </c>
      <c r="T52" s="28">
        <f>T120*T37</f>
        <v>14581.947636936167</v>
      </c>
      <c r="U52" s="28">
        <f>U120*U37</f>
        <v>16649.666347240898</v>
      </c>
      <c r="V52" s="28">
        <f>V120*V37</f>
        <v>18669.243864839016</v>
      </c>
      <c r="W52" s="28">
        <f>W120*W37</f>
        <v>20490.763340381025</v>
      </c>
      <c r="X52" s="28">
        <f>X120*X37</f>
        <v>22122.95526187544</v>
      </c>
      <c r="Y52" s="28">
        <f>Y120*Y37</f>
        <v>23573.1205845944</v>
      </c>
      <c r="Z52" s="28">
        <f>Z120*Z37</f>
        <v>24847.284984994585</v>
      </c>
      <c r="AA52" s="28">
        <f>AA120*AA37</f>
        <v>25950.327815713263</v>
      </c>
      <c r="AB52" s="28">
        <f>AB120*AB37</f>
        <v>26886.090012685123</v>
      </c>
      <c r="AC52" s="28">
        <f>AC120*AC37</f>
        <v>27657.464369578196</v>
      </c>
      <c r="AD52" s="28">
        <f>AD120*AD37</f>
        <v>28266.47093820341</v>
      </c>
      <c r="AE52" s="28">
        <f>AE120*AE37</f>
        <v>28714.31979403189</v>
      </c>
      <c r="AF52" s="28">
        <f>AF120*AF37</f>
        <v>29001.46299197221</v>
      </c>
    </row>
    <row r="53" spans="1:33" s="9" customFormat="1" ht="12">
      <c r="A53" s="9" t="s">
        <v>196</v>
      </c>
      <c r="I53" s="77"/>
      <c r="J53" s="28">
        <f aca="true" t="shared" si="11" ref="J53:AF53">J37-J52</f>
        <v>145584.3214763583</v>
      </c>
      <c r="K53" s="28">
        <f t="shared" si="11"/>
        <v>146564.2931843806</v>
      </c>
      <c r="L53" s="28">
        <f t="shared" si="11"/>
        <v>147326.0518539581</v>
      </c>
      <c r="M53" s="28">
        <f t="shared" si="11"/>
        <v>147874.65752217371</v>
      </c>
      <c r="N53" s="28">
        <f t="shared" si="11"/>
        <v>148215.63180542766</v>
      </c>
      <c r="O53" s="28">
        <f t="shared" si="11"/>
        <v>148354.91504550705</v>
      </c>
      <c r="P53" s="28">
        <f t="shared" si="11"/>
        <v>148298.8234173991</v>
      </c>
      <c r="Q53" s="28">
        <f t="shared" si="11"/>
        <v>148054.0063587292</v>
      </c>
      <c r="R53" s="28">
        <f t="shared" si="11"/>
        <v>147627.40462566057</v>
      </c>
      <c r="S53" s="28">
        <f t="shared" si="11"/>
        <v>147026.2092334082</v>
      </c>
      <c r="T53" s="28">
        <f t="shared" si="11"/>
        <v>146500.0117490653</v>
      </c>
      <c r="U53" s="28">
        <f t="shared" si="11"/>
        <v>146043.1126326206</v>
      </c>
      <c r="V53" s="28">
        <f t="shared" si="11"/>
        <v>145650.4629048211</v>
      </c>
      <c r="W53" s="28">
        <f t="shared" si="11"/>
        <v>145472.14049697568</v>
      </c>
      <c r="X53" s="28">
        <f t="shared" si="11"/>
        <v>145499.57761385484</v>
      </c>
      <c r="Y53" s="28">
        <f t="shared" si="11"/>
        <v>145725.63761989318</v>
      </c>
      <c r="Z53" s="28">
        <f t="shared" si="11"/>
        <v>146144.46080153788</v>
      </c>
      <c r="AA53" s="28">
        <f t="shared" si="11"/>
        <v>146751.3354286845</v>
      </c>
      <c r="AB53" s="28">
        <f t="shared" si="11"/>
        <v>147542.58986415665</v>
      </c>
      <c r="AC53" s="28">
        <f t="shared" si="11"/>
        <v>148515.502306032</v>
      </c>
      <c r="AD53" s="28">
        <f t="shared" si="11"/>
        <v>149668.2254041629</v>
      </c>
      <c r="AE53" s="28">
        <f t="shared" si="11"/>
        <v>150999.7235117581</v>
      </c>
      <c r="AF53" s="28">
        <f t="shared" si="11"/>
        <v>152509.72074687565</v>
      </c>
      <c r="AG53" s="28"/>
    </row>
    <row r="54" spans="1:32" s="9" customFormat="1" ht="12">
      <c r="A54" s="9" t="s">
        <v>50</v>
      </c>
      <c r="G54" s="27"/>
      <c r="I54" s="78"/>
      <c r="J54" s="29">
        <f aca="true" t="shared" si="12" ref="J54:AF54">J53*J49/$G$17</f>
        <v>1292.420877283069</v>
      </c>
      <c r="K54" s="29">
        <f t="shared" si="12"/>
        <v>1297.604007596439</v>
      </c>
      <c r="L54" s="29">
        <f t="shared" si="12"/>
        <v>1300.8229571157178</v>
      </c>
      <c r="M54" s="29">
        <f t="shared" si="12"/>
        <v>1302.1380696407034</v>
      </c>
      <c r="N54" s="29">
        <f t="shared" si="12"/>
        <v>1301.6131757510504</v>
      </c>
      <c r="O54" s="29">
        <f t="shared" si="12"/>
        <v>1299.3151663446351</v>
      </c>
      <c r="P54" s="29">
        <f t="shared" si="12"/>
        <v>1295.313572353066</v>
      </c>
      <c r="Q54" s="29">
        <f t="shared" si="12"/>
        <v>1289.6801537152521</v>
      </c>
      <c r="R54" s="29">
        <f t="shared" si="12"/>
        <v>1282.4885001443402</v>
      </c>
      <c r="S54" s="29">
        <f t="shared" si="12"/>
        <v>1273.8136457626067</v>
      </c>
      <c r="T54" s="29">
        <f t="shared" si="12"/>
        <v>1265.8243292222037</v>
      </c>
      <c r="U54" s="29">
        <f t="shared" si="12"/>
        <v>1258.4660434624295</v>
      </c>
      <c r="V54" s="29">
        <f t="shared" si="12"/>
        <v>1251.6904320459682</v>
      </c>
      <c r="W54" s="29">
        <f t="shared" si="12"/>
        <v>1246.7791602569052</v>
      </c>
      <c r="X54" s="29">
        <f t="shared" si="12"/>
        <v>1243.6440030358483</v>
      </c>
      <c r="Y54" s="29">
        <f t="shared" si="12"/>
        <v>1242.2098075079298</v>
      </c>
      <c r="Z54" s="29">
        <f t="shared" si="12"/>
        <v>1242.4130111943339</v>
      </c>
      <c r="AA54" s="29">
        <f t="shared" si="12"/>
        <v>1244.2003973468738</v>
      </c>
      <c r="AB54" s="29">
        <f t="shared" si="12"/>
        <v>1247.5280471937585</v>
      </c>
      <c r="AC54" s="29">
        <f t="shared" si="12"/>
        <v>1252.3604567555296</v>
      </c>
      <c r="AD54" s="29">
        <f t="shared" si="12"/>
        <v>1262.0808213186385</v>
      </c>
      <c r="AE54" s="29">
        <f t="shared" si="12"/>
        <v>1273.308710342378</v>
      </c>
      <c r="AF54" s="29">
        <f t="shared" si="12"/>
        <v>1286.0417974458014</v>
      </c>
    </row>
    <row r="55" spans="1:32" s="9" customFormat="1" ht="12">
      <c r="A55" s="9" t="s">
        <v>56</v>
      </c>
      <c r="G55" s="27"/>
      <c r="I55" s="78"/>
      <c r="J55" s="29">
        <f aca="true" t="shared" si="13" ref="J55:AF55">J40-J54</f>
        <v>5.6484321552311485</v>
      </c>
      <c r="K55" s="29">
        <f t="shared" si="13"/>
        <v>13.445994936244233</v>
      </c>
      <c r="L55" s="29">
        <f t="shared" si="13"/>
        <v>23.337545442291912</v>
      </c>
      <c r="M55" s="29">
        <f t="shared" si="13"/>
        <v>35.26403794288649</v>
      </c>
      <c r="N55" s="29">
        <f t="shared" si="13"/>
        <v>49.16295290837547</v>
      </c>
      <c r="O55" s="29">
        <f t="shared" si="13"/>
        <v>64.96872360138491</v>
      </c>
      <c r="P55" s="29">
        <f t="shared" si="13"/>
        <v>82.61315649241419</v>
      </c>
      <c r="Q55" s="29">
        <f t="shared" si="13"/>
        <v>102.02584241868294</v>
      </c>
      <c r="R55" s="29">
        <f t="shared" si="13"/>
        <v>123.13455595093433</v>
      </c>
      <c r="S55" s="29">
        <f t="shared" si="13"/>
        <v>145.86564089362037</v>
      </c>
      <c r="T55" s="29">
        <f t="shared" si="13"/>
        <v>168.0517503005858</v>
      </c>
      <c r="U55" s="29">
        <f t="shared" si="13"/>
        <v>189.74879685558767</v>
      </c>
      <c r="V55" s="29">
        <f t="shared" si="13"/>
        <v>211.00655667522915</v>
      </c>
      <c r="W55" s="29">
        <f t="shared" si="13"/>
        <v>230.54479835150414</v>
      </c>
      <c r="X55" s="29">
        <f t="shared" si="13"/>
        <v>248.45319515864526</v>
      </c>
      <c r="Y55" s="29">
        <f t="shared" si="13"/>
        <v>264.8083626685086</v>
      </c>
      <c r="Z55" s="29">
        <f t="shared" si="13"/>
        <v>279.67534068386885</v>
      </c>
      <c r="AA55" s="29">
        <f t="shared" si="13"/>
        <v>293.108838050111</v>
      </c>
      <c r="AB55" s="29">
        <f t="shared" si="13"/>
        <v>305.15428055719644</v>
      </c>
      <c r="AC55" s="29">
        <f t="shared" si="13"/>
        <v>315.8486942729346</v>
      </c>
      <c r="AD55" s="29">
        <f t="shared" si="13"/>
        <v>321.8104212201108</v>
      </c>
      <c r="AE55" s="29">
        <f t="shared" si="13"/>
        <v>326.4214446217586</v>
      </c>
      <c r="AF55" s="29">
        <f t="shared" si="13"/>
        <v>329.68565906797676</v>
      </c>
    </row>
    <row r="56" spans="1:32" s="9" customFormat="1" ht="12">
      <c r="A56" s="9" t="s">
        <v>242</v>
      </c>
      <c r="G56" s="27"/>
      <c r="I56" s="78"/>
      <c r="J56" s="29">
        <f>$J$40-J54</f>
        <v>5.6484321552311485</v>
      </c>
      <c r="K56" s="29">
        <f aca="true" t="shared" si="14" ref="K56:AF56">$J$40-K54</f>
        <v>0.46530184186121915</v>
      </c>
      <c r="L56" s="29">
        <f t="shared" si="14"/>
        <v>-2.7536476774175753</v>
      </c>
      <c r="M56" s="29">
        <f t="shared" si="14"/>
        <v>-4.068760202403155</v>
      </c>
      <c r="N56" s="29">
        <f t="shared" si="14"/>
        <v>-3.543866312750197</v>
      </c>
      <c r="O56" s="29">
        <f t="shared" si="14"/>
        <v>-1.2458569063348932</v>
      </c>
      <c r="P56" s="29">
        <f t="shared" si="14"/>
        <v>2.755737085234159</v>
      </c>
      <c r="Q56" s="29">
        <f t="shared" si="14"/>
        <v>8.389155723048134</v>
      </c>
      <c r="R56" s="29">
        <f t="shared" si="14"/>
        <v>15.580809293960101</v>
      </c>
      <c r="S56" s="29">
        <f t="shared" si="14"/>
        <v>24.25566367569354</v>
      </c>
      <c r="T56" s="29">
        <f t="shared" si="14"/>
        <v>32.244980216096565</v>
      </c>
      <c r="U56" s="29">
        <f t="shared" si="14"/>
        <v>39.60326597587073</v>
      </c>
      <c r="V56" s="29">
        <f t="shared" si="14"/>
        <v>46.378877392332015</v>
      </c>
      <c r="W56" s="29">
        <f t="shared" si="14"/>
        <v>51.29014918139501</v>
      </c>
      <c r="X56" s="29">
        <f t="shared" si="14"/>
        <v>54.42530640245195</v>
      </c>
      <c r="Y56" s="29">
        <f t="shared" si="14"/>
        <v>55.85950193037047</v>
      </c>
      <c r="Z56" s="29">
        <f t="shared" si="14"/>
        <v>55.656298243966376</v>
      </c>
      <c r="AA56" s="29">
        <f t="shared" si="14"/>
        <v>53.86891209142641</v>
      </c>
      <c r="AB56" s="29">
        <f t="shared" si="14"/>
        <v>50.54126224454171</v>
      </c>
      <c r="AC56" s="29">
        <f t="shared" si="14"/>
        <v>45.70885268277061</v>
      </c>
      <c r="AD56" s="29">
        <f t="shared" si="14"/>
        <v>35.988488119661724</v>
      </c>
      <c r="AE56" s="29">
        <f t="shared" si="14"/>
        <v>24.760599095922316</v>
      </c>
      <c r="AF56" s="29">
        <f t="shared" si="14"/>
        <v>12.02751199249883</v>
      </c>
    </row>
    <row r="57" spans="1:33" s="9" customFormat="1" ht="12">
      <c r="A57" s="9" t="s">
        <v>206</v>
      </c>
      <c r="G57" s="27"/>
      <c r="I57" s="78"/>
      <c r="J57" s="51">
        <f aca="true" t="shared" si="15" ref="J57:AF57">J54*$G$17*1000000*J15/($G$16*2000*1000000)</f>
        <v>3886.074592376138</v>
      </c>
      <c r="K57" s="51">
        <f t="shared" si="15"/>
        <v>7803.318645682222</v>
      </c>
      <c r="L57" s="51">
        <f t="shared" si="15"/>
        <v>11734.0143563461</v>
      </c>
      <c r="M57" s="51">
        <f t="shared" si="15"/>
        <v>15661.169692133186</v>
      </c>
      <c r="N57" s="51">
        <f t="shared" si="15"/>
        <v>19568.570812711816</v>
      </c>
      <c r="O57" s="51">
        <f t="shared" si="15"/>
        <v>23440.826796462985</v>
      </c>
      <c r="P57" s="51">
        <f t="shared" si="15"/>
        <v>27263.40680354942</v>
      </c>
      <c r="Q57" s="51">
        <f t="shared" si="15"/>
        <v>31022.669879368703</v>
      </c>
      <c r="R57" s="51">
        <f t="shared" si="15"/>
        <v>34705.88766186059</v>
      </c>
      <c r="S57" s="51">
        <f t="shared" si="15"/>
        <v>38301.260303271105</v>
      </c>
      <c r="T57" s="51">
        <f t="shared" si="15"/>
        <v>41867.139689024385</v>
      </c>
      <c r="U57" s="51">
        <f t="shared" si="15"/>
        <v>45407.74296820348</v>
      </c>
      <c r="V57" s="51">
        <f t="shared" si="15"/>
        <v>48926.87213808775</v>
      </c>
      <c r="W57" s="51">
        <f t="shared" si="15"/>
        <v>52483.73546881454</v>
      </c>
      <c r="X57" s="51">
        <f t="shared" si="15"/>
        <v>56091.171000560025</v>
      </c>
      <c r="Y57" s="51">
        <f t="shared" si="15"/>
        <v>59761.584557563314</v>
      </c>
      <c r="Z57" s="51">
        <f t="shared" si="15"/>
        <v>63507.070533572194</v>
      </c>
      <c r="AA57" s="51">
        <f t="shared" si="15"/>
        <v>67339.51877822376</v>
      </c>
      <c r="AB57" s="51">
        <f t="shared" si="15"/>
        <v>71270.71027797615</v>
      </c>
      <c r="AC57" s="51">
        <f t="shared" si="15"/>
        <v>75312.40383125299</v>
      </c>
      <c r="AD57" s="51">
        <f t="shared" si="15"/>
        <v>75896.95120929812</v>
      </c>
      <c r="AE57" s="51">
        <f t="shared" si="15"/>
        <v>76572.15562649845</v>
      </c>
      <c r="AF57" s="51">
        <f t="shared" si="15"/>
        <v>77337.87718276343</v>
      </c>
      <c r="AG57" s="51"/>
    </row>
    <row r="58" spans="1:32" s="9" customFormat="1" ht="12">
      <c r="A58" s="9" t="s">
        <v>207</v>
      </c>
      <c r="G58" s="27"/>
      <c r="I58" s="78"/>
      <c r="J58" s="51">
        <f aca="true" t="shared" si="16" ref="J58:AF58">J53*$H$27*J14/100</f>
        <v>14558.432147635831</v>
      </c>
      <c r="K58" s="51">
        <f t="shared" si="16"/>
        <v>29312.85863687612</v>
      </c>
      <c r="L58" s="51">
        <f t="shared" si="16"/>
        <v>44197.81555618742</v>
      </c>
      <c r="M58" s="51">
        <f t="shared" si="16"/>
        <v>59149.863008869484</v>
      </c>
      <c r="N58" s="51">
        <f t="shared" si="16"/>
        <v>74107.81590271383</v>
      </c>
      <c r="O58" s="51">
        <f t="shared" si="16"/>
        <v>89012.94902730422</v>
      </c>
      <c r="P58" s="51">
        <f t="shared" si="16"/>
        <v>103809.17639217938</v>
      </c>
      <c r="Q58" s="51">
        <f t="shared" si="16"/>
        <v>118443.20508698336</v>
      </c>
      <c r="R58" s="51">
        <f t="shared" si="16"/>
        <v>132864.6641630945</v>
      </c>
      <c r="S58" s="51">
        <f t="shared" si="16"/>
        <v>147026.2092334082</v>
      </c>
      <c r="T58" s="51">
        <f t="shared" si="16"/>
        <v>161150.01292397184</v>
      </c>
      <c r="U58" s="51">
        <f t="shared" si="16"/>
        <v>175251.73515914474</v>
      </c>
      <c r="V58" s="51">
        <f t="shared" si="16"/>
        <v>189345.60177626743</v>
      </c>
      <c r="W58" s="51">
        <f t="shared" si="16"/>
        <v>203660.99669576596</v>
      </c>
      <c r="X58" s="51">
        <f t="shared" si="16"/>
        <v>218249.36642078226</v>
      </c>
      <c r="Y58" s="51">
        <f t="shared" si="16"/>
        <v>233161.0201918291</v>
      </c>
      <c r="Z58" s="51">
        <f t="shared" si="16"/>
        <v>248445.58336261436</v>
      </c>
      <c r="AA58" s="51">
        <f t="shared" si="16"/>
        <v>264152.4037716321</v>
      </c>
      <c r="AB58" s="51">
        <f t="shared" si="16"/>
        <v>280330.92074189766</v>
      </c>
      <c r="AC58" s="51">
        <f t="shared" si="16"/>
        <v>297031.004612064</v>
      </c>
      <c r="AD58" s="51">
        <f t="shared" si="16"/>
        <v>299336.4508083258</v>
      </c>
      <c r="AE58" s="51">
        <f t="shared" si="16"/>
        <v>301999.4470235162</v>
      </c>
      <c r="AF58" s="51">
        <f t="shared" si="16"/>
        <v>305019.4414937513</v>
      </c>
    </row>
    <row r="59" spans="1:33" s="9" customFormat="1" ht="12">
      <c r="A59" s="9" t="s">
        <v>208</v>
      </c>
      <c r="G59" s="27"/>
      <c r="I59" s="78"/>
      <c r="J59" s="51">
        <f aca="true" t="shared" si="17" ref="J59:AF59">J57+J58</f>
        <v>18444.50674001197</v>
      </c>
      <c r="K59" s="51">
        <f t="shared" si="17"/>
        <v>37116.17728255835</v>
      </c>
      <c r="L59" s="51">
        <f t="shared" si="17"/>
        <v>55931.829912533525</v>
      </c>
      <c r="M59" s="51">
        <f t="shared" si="17"/>
        <v>74811.03270100267</v>
      </c>
      <c r="N59" s="51">
        <f t="shared" si="17"/>
        <v>93676.38671542564</v>
      </c>
      <c r="O59" s="133">
        <f t="shared" si="17"/>
        <v>112453.77582376721</v>
      </c>
      <c r="P59" s="133">
        <f t="shared" si="17"/>
        <v>131072.5831957288</v>
      </c>
      <c r="Q59" s="133">
        <f t="shared" si="17"/>
        <v>149465.87496635207</v>
      </c>
      <c r="R59" s="133">
        <f t="shared" si="17"/>
        <v>167570.5518249551</v>
      </c>
      <c r="S59" s="133">
        <f t="shared" si="17"/>
        <v>185327.46953667933</v>
      </c>
      <c r="T59" s="133">
        <f t="shared" si="17"/>
        <v>203017.15261299623</v>
      </c>
      <c r="U59" s="133">
        <f t="shared" si="17"/>
        <v>220659.4781273482</v>
      </c>
      <c r="V59" s="133">
        <f t="shared" si="17"/>
        <v>238272.47391435519</v>
      </c>
      <c r="W59" s="133">
        <f t="shared" si="17"/>
        <v>256144.7321645805</v>
      </c>
      <c r="X59" s="133">
        <f t="shared" si="17"/>
        <v>274340.5374213423</v>
      </c>
      <c r="Y59" s="133">
        <f t="shared" si="17"/>
        <v>292922.6047493924</v>
      </c>
      <c r="Z59" s="133">
        <f t="shared" si="17"/>
        <v>311952.65389618656</v>
      </c>
      <c r="AA59" s="133">
        <f t="shared" si="17"/>
        <v>331491.9225498559</v>
      </c>
      <c r="AB59" s="133">
        <f t="shared" si="17"/>
        <v>351601.6310198738</v>
      </c>
      <c r="AC59" s="133">
        <f t="shared" si="17"/>
        <v>372343.408443317</v>
      </c>
      <c r="AD59" s="133">
        <f t="shared" si="17"/>
        <v>375233.4020176239</v>
      </c>
      <c r="AE59" s="133">
        <f t="shared" si="17"/>
        <v>378571.6026500146</v>
      </c>
      <c r="AF59" s="133">
        <f t="shared" si="17"/>
        <v>382357.3186765147</v>
      </c>
      <c r="AG59" s="28"/>
    </row>
    <row r="60" spans="7:33" s="9" customFormat="1" ht="12">
      <c r="G60" s="27"/>
      <c r="I60" s="78"/>
      <c r="J60" s="28"/>
      <c r="K60" s="28"/>
      <c r="L60" s="28"/>
      <c r="M60" s="28"/>
      <c r="N60" s="28"/>
      <c r="O60" s="28"/>
      <c r="P60" s="28"/>
      <c r="Q60" s="28"/>
      <c r="R60" s="28"/>
      <c r="S60" s="28"/>
      <c r="T60" s="28"/>
      <c r="U60" s="28"/>
      <c r="V60" s="28"/>
      <c r="W60" s="28"/>
      <c r="X60" s="28"/>
      <c r="Y60" s="28"/>
      <c r="Z60" s="28"/>
      <c r="AA60" s="28"/>
      <c r="AB60" s="28"/>
      <c r="AC60" s="28"/>
      <c r="AD60" s="28"/>
      <c r="AE60" s="28"/>
      <c r="AF60" s="28"/>
      <c r="AG60" s="28"/>
    </row>
    <row r="61" spans="1:32" ht="11.25">
      <c r="A61" t="s">
        <v>68</v>
      </c>
      <c r="H61" s="16"/>
      <c r="J61" s="16">
        <f>J46/H46-1</f>
        <v>0.042230982368082426</v>
      </c>
      <c r="K61" s="16">
        <f aca="true" t="shared" si="18" ref="K61:AF61">K46/J46-1</f>
        <v>0.04047364517225294</v>
      </c>
      <c r="L61" s="16">
        <f t="shared" si="18"/>
        <v>0.03885507898830132</v>
      </c>
      <c r="M61" s="16">
        <f t="shared" si="18"/>
        <v>0.03735948085081087</v>
      </c>
      <c r="N61" s="16">
        <f t="shared" si="18"/>
        <v>0.03597335949288172</v>
      </c>
      <c r="O61" s="16">
        <f t="shared" si="18"/>
        <v>0.034685127557697815</v>
      </c>
      <c r="P61" s="16">
        <f t="shared" si="18"/>
        <v>0.03348477719008702</v>
      </c>
      <c r="Q61" s="16">
        <f t="shared" si="18"/>
        <v>0.03236361977351643</v>
      </c>
      <c r="R61" s="16">
        <f t="shared" si="18"/>
        <v>0.03131407548719034</v>
      </c>
      <c r="S61" s="16">
        <f t="shared" si="18"/>
        <v>0.03032950190112249</v>
      </c>
      <c r="T61" s="16">
        <f t="shared" si="18"/>
        <v>0.02940405341391439</v>
      </c>
      <c r="U61" s="16">
        <f t="shared" si="18"/>
        <v>0.028532565246936814</v>
      </c>
      <c r="V61" s="16">
        <f t="shared" si="18"/>
        <v>0.027710457131479904</v>
      </c>
      <c r="W61" s="16">
        <f t="shared" si="18"/>
        <v>0.02693365289596006</v>
      </c>
      <c r="X61" s="16">
        <f t="shared" si="18"/>
        <v>0.02619851297280751</v>
      </c>
      <c r="Y61" s="16">
        <f t="shared" si="18"/>
        <v>0.02550177746645854</v>
      </c>
      <c r="Z61" s="16">
        <f t="shared" si="18"/>
        <v>0.024840517903464754</v>
      </c>
      <c r="AA61" s="16">
        <f t="shared" si="18"/>
        <v>0.02421209615831299</v>
      </c>
      <c r="AB61" s="16">
        <f t="shared" si="18"/>
        <v>0.02361412934003959</v>
      </c>
      <c r="AC61" s="16">
        <f t="shared" si="18"/>
        <v>0.023044459654254057</v>
      </c>
      <c r="AD61" s="16">
        <f t="shared" si="18"/>
        <v>0</v>
      </c>
      <c r="AE61" s="16">
        <f t="shared" si="18"/>
        <v>0</v>
      </c>
      <c r="AF61" s="16">
        <f t="shared" si="18"/>
        <v>0</v>
      </c>
    </row>
    <row r="63" spans="1:7" ht="11.25">
      <c r="A63" s="101" t="s">
        <v>111</v>
      </c>
      <c r="G63" s="101">
        <v>0.4</v>
      </c>
    </row>
    <row r="64" ht="11.25">
      <c r="A64" s="3" t="s">
        <v>66</v>
      </c>
    </row>
    <row r="66" spans="1:21" ht="11.25">
      <c r="A66" s="3"/>
      <c r="G66" s="5"/>
      <c r="U66" s="6"/>
    </row>
    <row r="67" spans="1:22" ht="11.25">
      <c r="A67" s="101" t="s">
        <v>58</v>
      </c>
      <c r="G67" s="100">
        <v>10</v>
      </c>
      <c r="L67" s="150" t="s">
        <v>280</v>
      </c>
      <c r="M67" s="138"/>
      <c r="N67" s="138"/>
      <c r="O67" s="138"/>
      <c r="P67" s="138"/>
      <c r="Q67" s="138"/>
      <c r="R67" s="138"/>
      <c r="S67" s="138"/>
      <c r="T67" s="138"/>
      <c r="U67" s="138"/>
      <c r="V67" s="138"/>
    </row>
    <row r="68" spans="1:22" ht="11.25">
      <c r="A68" s="3"/>
      <c r="L68" s="138"/>
      <c r="M68" s="138"/>
      <c r="N68" s="138"/>
      <c r="O68" s="138"/>
      <c r="P68" s="138"/>
      <c r="Q68" s="138"/>
      <c r="R68" s="138"/>
      <c r="S68" s="138"/>
      <c r="T68" s="138"/>
      <c r="U68" s="138"/>
      <c r="V68" s="138"/>
    </row>
    <row r="69" spans="12:22" ht="11.25">
      <c r="L69" s="138"/>
      <c r="M69" s="138"/>
      <c r="N69" s="138"/>
      <c r="O69" s="138"/>
      <c r="P69" s="138"/>
      <c r="Q69" s="138"/>
      <c r="R69" s="138"/>
      <c r="S69" s="138"/>
      <c r="T69" s="138"/>
      <c r="U69" s="138"/>
      <c r="V69" s="138"/>
    </row>
    <row r="70" spans="1:26" s="114" customFormat="1" ht="11.25">
      <c r="A70" s="114" t="s">
        <v>45</v>
      </c>
      <c r="G70" s="114">
        <f>J7</f>
        <v>2008</v>
      </c>
      <c r="I70" s="118"/>
      <c r="L70" s="138"/>
      <c r="M70" s="138"/>
      <c r="N70" s="138"/>
      <c r="O70" s="138"/>
      <c r="P70" s="138"/>
      <c r="Q70" s="138"/>
      <c r="R70" s="138"/>
      <c r="S70" s="138"/>
      <c r="T70" s="138"/>
      <c r="U70" s="138"/>
      <c r="V70" s="138"/>
      <c r="X70"/>
      <c r="Y70"/>
      <c r="Z70"/>
    </row>
    <row r="72" spans="1:32" s="41" customFormat="1" ht="11.25">
      <c r="A72" s="30" t="s">
        <v>112</v>
      </c>
      <c r="B72" s="6"/>
      <c r="C72" s="6"/>
      <c r="D72" s="6"/>
      <c r="E72" s="6"/>
      <c r="F72" s="6"/>
      <c r="G72">
        <f>G70</f>
        <v>2008</v>
      </c>
      <c r="I72" s="91"/>
      <c r="J72" s="6">
        <f>IF(J7&gt;=Summary!$H$67+$G$67,$G$63,((J7-$G$70+1)/$G$67)*$G$63)</f>
        <v>0.04000000000000001</v>
      </c>
      <c r="K72" s="6">
        <f>IF(K7&gt;=Summary!$H$67+$G$67,$G$63,((K7-$G$70+1)/$G$67)*$G$63)</f>
        <v>0.08000000000000002</v>
      </c>
      <c r="L72" s="6">
        <f>IF(L7&gt;=Summary!$H$67+$G$67,$G$63,((L7-$G$70+1)/$G$67)*$G$63)</f>
        <v>0.12</v>
      </c>
      <c r="M72" s="6">
        <f>IF(M7&gt;=Summary!$H$67+$G$67,$G$63,((M7-$G$70+1)/$G$67)*$G$63)</f>
        <v>0.16000000000000003</v>
      </c>
      <c r="N72" s="6">
        <f>IF(N7&gt;=Summary!$H$67+$G$67,$G$63,((N7-$G$70+1)/$G$67)*$G$63)</f>
        <v>0.2</v>
      </c>
      <c r="O72" s="6">
        <f>IF(O7&gt;=Summary!$H$67+$G$67,$G$63,((O7-$G$70+1)/$G$67)*$G$63)</f>
        <v>0.24</v>
      </c>
      <c r="P72" s="6">
        <f>IF(P7&gt;=Summary!$H$67+$G$67,$G$63,((P7-$G$70+1)/$G$67)*$G$63)</f>
        <v>0.27999999999999997</v>
      </c>
      <c r="Q72" s="6">
        <f>IF(Q7&gt;=Summary!$H$67+$G$67,$G$63,((Q7-$G$70+1)/$G$67)*$G$63)</f>
        <v>0.32000000000000006</v>
      </c>
      <c r="R72" s="6">
        <f>IF(R7&gt;=Summary!$H$67+$G$67,$G$63,((R7-$G$70+1)/$G$67)*$G$63)</f>
        <v>0.36000000000000004</v>
      </c>
      <c r="S72" s="6">
        <f>IF(S7&gt;=Summary!$H$67+$G$67,$G$63,((S7-$G$70+1)/$G$67)*$G$63)</f>
        <v>0.4</v>
      </c>
      <c r="T72" s="6">
        <f>IF(T7&gt;=Summary!$H$67+$G$67,$G$63,((T7-$G$70+1)/$G$67)*$G$63)</f>
        <v>0.4</v>
      </c>
      <c r="U72" s="6">
        <f>IF(U7&gt;=Summary!$H$67+$G$67,$G$63,((U7-$G$70+1)/$G$67)*$G$63)</f>
        <v>0.4</v>
      </c>
      <c r="V72" s="6">
        <f>IF(V7&gt;=Summary!$H$67+$G$67,$G$63,((V7-$G$70+1)/$G$67)*$G$63)</f>
        <v>0.4</v>
      </c>
      <c r="W72" s="6">
        <f>IF(W7&gt;=Summary!$H$67+$G$67,$G$63,((W7-$G$70+1)/$G$67)*$G$63)</f>
        <v>0.4</v>
      </c>
      <c r="X72" s="6">
        <f>IF(X7&gt;=Summary!$H$67+$G$67,$G$63,((X7-$G$70+1)/$G$67)*$G$63)</f>
        <v>0.4</v>
      </c>
      <c r="Y72" s="6">
        <f>IF(Y7&gt;=Summary!$H$67+$G$67,$G$63,((Y7-$G$70+1)/$G$67)*$G$63)</f>
        <v>0.4</v>
      </c>
      <c r="Z72" s="6">
        <f>IF(Z7&gt;=Summary!$H$67+$G$67,$G$63,((Z7-$G$70+1)/$G$67)*$G$63)</f>
        <v>0.4</v>
      </c>
      <c r="AA72" s="6">
        <f>IF(AA7&gt;=Summary!$H$67+$G$67,$G$63,((AA7-$G$70+1)/$G$67)*$G$63)</f>
        <v>0.4</v>
      </c>
      <c r="AB72" s="6">
        <f>IF(AB7&gt;=Summary!$H$67+$G$67,$G$63,((AB7-$G$70+1)/$G$67)*$G$63)</f>
        <v>0.4</v>
      </c>
      <c r="AC72" s="6">
        <f>IF(AC7&gt;=Summary!$H$67+$G$67,$G$63,((AC7-$G$70+1)/$G$67)*$G$63)</f>
        <v>0.4</v>
      </c>
      <c r="AD72" s="6">
        <f>IF(AD7&gt;=Summary!$H$67+$G$67,$G$63,((AD7-$G$70+1)/$G$67)*$G$63)</f>
        <v>0.4</v>
      </c>
      <c r="AE72" s="6">
        <f>IF(AE7&gt;=Summary!$H$67+$G$67,$G$63,((AE7-$G$70+1)/$G$67)*$G$63)</f>
        <v>0.4</v>
      </c>
      <c r="AF72" s="6">
        <f>IF(AF7&gt;=Summary!$H$67+$G$67,$G$63,((AF7-$G$70+1)/$G$67)*$G$63)</f>
        <v>0.4</v>
      </c>
    </row>
    <row r="73" spans="1:32" s="41" customFormat="1" ht="11.25">
      <c r="A73" s="30" t="s">
        <v>112</v>
      </c>
      <c r="F73"/>
      <c r="G73">
        <f>G72+1</f>
        <v>2009</v>
      </c>
      <c r="I73" s="91"/>
      <c r="J73" s="6"/>
      <c r="K73" s="6">
        <f aca="true" t="shared" si="19" ref="K73:AF84">J72</f>
        <v>0.04000000000000001</v>
      </c>
      <c r="L73" s="6">
        <f t="shared" si="19"/>
        <v>0.08000000000000002</v>
      </c>
      <c r="M73" s="6">
        <f t="shared" si="19"/>
        <v>0.12</v>
      </c>
      <c r="N73" s="6">
        <f t="shared" si="19"/>
        <v>0.16000000000000003</v>
      </c>
      <c r="O73" s="6">
        <f t="shared" si="19"/>
        <v>0.2</v>
      </c>
      <c r="P73" s="6">
        <f t="shared" si="19"/>
        <v>0.24</v>
      </c>
      <c r="Q73" s="6">
        <f t="shared" si="19"/>
        <v>0.27999999999999997</v>
      </c>
      <c r="R73" s="6">
        <f t="shared" si="19"/>
        <v>0.32000000000000006</v>
      </c>
      <c r="S73" s="6">
        <f t="shared" si="19"/>
        <v>0.36000000000000004</v>
      </c>
      <c r="T73" s="6">
        <f t="shared" si="19"/>
        <v>0.4</v>
      </c>
      <c r="U73" s="6">
        <f t="shared" si="19"/>
        <v>0.4</v>
      </c>
      <c r="V73" s="6">
        <f t="shared" si="19"/>
        <v>0.4</v>
      </c>
      <c r="W73" s="6">
        <f t="shared" si="19"/>
        <v>0.4</v>
      </c>
      <c r="X73" s="6">
        <f t="shared" si="19"/>
        <v>0.4</v>
      </c>
      <c r="Y73" s="6">
        <f t="shared" si="19"/>
        <v>0.4</v>
      </c>
      <c r="Z73" s="6">
        <f t="shared" si="19"/>
        <v>0.4</v>
      </c>
      <c r="AA73" s="6">
        <f t="shared" si="19"/>
        <v>0.4</v>
      </c>
      <c r="AB73" s="6">
        <f t="shared" si="19"/>
        <v>0.4</v>
      </c>
      <c r="AC73" s="6">
        <f t="shared" si="19"/>
        <v>0.4</v>
      </c>
      <c r="AD73" s="6">
        <f t="shared" si="19"/>
        <v>0.4</v>
      </c>
      <c r="AE73" s="6">
        <f t="shared" si="19"/>
        <v>0.4</v>
      </c>
      <c r="AF73" s="6">
        <f t="shared" si="19"/>
        <v>0.4</v>
      </c>
    </row>
    <row r="74" spans="1:32" s="41" customFormat="1" ht="11.25">
      <c r="A74" s="30" t="s">
        <v>112</v>
      </c>
      <c r="F74"/>
      <c r="G74">
        <f aca="true" t="shared" si="20" ref="G74:G94">G73+1</f>
        <v>2010</v>
      </c>
      <c r="I74" s="91"/>
      <c r="J74" s="6"/>
      <c r="K74" s="6"/>
      <c r="L74" s="6">
        <f t="shared" si="19"/>
        <v>0.04000000000000001</v>
      </c>
      <c r="M74" s="6">
        <f t="shared" si="19"/>
        <v>0.08000000000000002</v>
      </c>
      <c r="N74" s="6">
        <f t="shared" si="19"/>
        <v>0.12</v>
      </c>
      <c r="O74" s="6">
        <f t="shared" si="19"/>
        <v>0.16000000000000003</v>
      </c>
      <c r="P74" s="6">
        <f t="shared" si="19"/>
        <v>0.2</v>
      </c>
      <c r="Q74" s="6">
        <f t="shared" si="19"/>
        <v>0.24</v>
      </c>
      <c r="R74" s="6">
        <f t="shared" si="19"/>
        <v>0.27999999999999997</v>
      </c>
      <c r="S74" s="6">
        <f t="shared" si="19"/>
        <v>0.32000000000000006</v>
      </c>
      <c r="T74" s="6">
        <f t="shared" si="19"/>
        <v>0.36000000000000004</v>
      </c>
      <c r="U74" s="6">
        <f t="shared" si="19"/>
        <v>0.4</v>
      </c>
      <c r="V74" s="6">
        <f t="shared" si="19"/>
        <v>0.4</v>
      </c>
      <c r="W74" s="6">
        <f t="shared" si="19"/>
        <v>0.4</v>
      </c>
      <c r="X74" s="6">
        <f t="shared" si="19"/>
        <v>0.4</v>
      </c>
      <c r="Y74" s="6">
        <f t="shared" si="19"/>
        <v>0.4</v>
      </c>
      <c r="Z74" s="6">
        <f t="shared" si="19"/>
        <v>0.4</v>
      </c>
      <c r="AA74" s="6">
        <f t="shared" si="19"/>
        <v>0.4</v>
      </c>
      <c r="AB74" s="6">
        <f t="shared" si="19"/>
        <v>0.4</v>
      </c>
      <c r="AC74" s="6">
        <f t="shared" si="19"/>
        <v>0.4</v>
      </c>
      <c r="AD74" s="6">
        <f t="shared" si="19"/>
        <v>0.4</v>
      </c>
      <c r="AE74" s="6">
        <f t="shared" si="19"/>
        <v>0.4</v>
      </c>
      <c r="AF74" s="6">
        <f t="shared" si="19"/>
        <v>0.4</v>
      </c>
    </row>
    <row r="75" spans="1:32" s="41" customFormat="1" ht="11.25">
      <c r="A75" s="30" t="s">
        <v>112</v>
      </c>
      <c r="F75"/>
      <c r="G75">
        <f t="shared" si="20"/>
        <v>2011</v>
      </c>
      <c r="H75"/>
      <c r="I75" s="91"/>
      <c r="J75" s="6"/>
      <c r="K75" s="6"/>
      <c r="L75" s="6"/>
      <c r="M75" s="6">
        <f>L74</f>
        <v>0.04000000000000001</v>
      </c>
      <c r="N75" s="6">
        <f t="shared" si="19"/>
        <v>0.08000000000000002</v>
      </c>
      <c r="O75" s="6">
        <f t="shared" si="19"/>
        <v>0.12</v>
      </c>
      <c r="P75" s="6">
        <f t="shared" si="19"/>
        <v>0.16000000000000003</v>
      </c>
      <c r="Q75" s="6">
        <f t="shared" si="19"/>
        <v>0.2</v>
      </c>
      <c r="R75" s="6">
        <f t="shared" si="19"/>
        <v>0.24</v>
      </c>
      <c r="S75" s="6">
        <f t="shared" si="19"/>
        <v>0.27999999999999997</v>
      </c>
      <c r="T75" s="6">
        <f t="shared" si="19"/>
        <v>0.32000000000000006</v>
      </c>
      <c r="U75" s="6">
        <f t="shared" si="19"/>
        <v>0.36000000000000004</v>
      </c>
      <c r="V75" s="6">
        <f t="shared" si="19"/>
        <v>0.4</v>
      </c>
      <c r="W75" s="6">
        <f t="shared" si="19"/>
        <v>0.4</v>
      </c>
      <c r="X75" s="6">
        <f t="shared" si="19"/>
        <v>0.4</v>
      </c>
      <c r="Y75" s="6">
        <f t="shared" si="19"/>
        <v>0.4</v>
      </c>
      <c r="Z75" s="6">
        <f t="shared" si="19"/>
        <v>0.4</v>
      </c>
      <c r="AA75" s="6">
        <f t="shared" si="19"/>
        <v>0.4</v>
      </c>
      <c r="AB75" s="6">
        <f t="shared" si="19"/>
        <v>0.4</v>
      </c>
      <c r="AC75" s="6">
        <f t="shared" si="19"/>
        <v>0.4</v>
      </c>
      <c r="AD75" s="6">
        <f t="shared" si="19"/>
        <v>0.4</v>
      </c>
      <c r="AE75" s="6">
        <f t="shared" si="19"/>
        <v>0.4</v>
      </c>
      <c r="AF75" s="6">
        <f t="shared" si="19"/>
        <v>0.4</v>
      </c>
    </row>
    <row r="76" spans="1:32" s="41" customFormat="1" ht="11.25">
      <c r="A76" s="30" t="s">
        <v>112</v>
      </c>
      <c r="F76"/>
      <c r="G76">
        <f t="shared" si="20"/>
        <v>2012</v>
      </c>
      <c r="H76"/>
      <c r="I76" s="91"/>
      <c r="J76" s="6"/>
      <c r="K76" s="6"/>
      <c r="L76" s="6"/>
      <c r="M76" s="6"/>
      <c r="N76" s="6">
        <f>M75</f>
        <v>0.04000000000000001</v>
      </c>
      <c r="O76" s="6">
        <f t="shared" si="19"/>
        <v>0.08000000000000002</v>
      </c>
      <c r="P76" s="6">
        <f t="shared" si="19"/>
        <v>0.12</v>
      </c>
      <c r="Q76" s="6">
        <f t="shared" si="19"/>
        <v>0.16000000000000003</v>
      </c>
      <c r="R76" s="6">
        <f t="shared" si="19"/>
        <v>0.2</v>
      </c>
      <c r="S76" s="6">
        <f t="shared" si="19"/>
        <v>0.24</v>
      </c>
      <c r="T76" s="6">
        <f t="shared" si="19"/>
        <v>0.27999999999999997</v>
      </c>
      <c r="U76" s="6">
        <f t="shared" si="19"/>
        <v>0.32000000000000006</v>
      </c>
      <c r="V76" s="6">
        <f t="shared" si="19"/>
        <v>0.36000000000000004</v>
      </c>
      <c r="W76" s="6">
        <f t="shared" si="19"/>
        <v>0.4</v>
      </c>
      <c r="X76" s="6">
        <f t="shared" si="19"/>
        <v>0.4</v>
      </c>
      <c r="Y76" s="6">
        <f t="shared" si="19"/>
        <v>0.4</v>
      </c>
      <c r="Z76" s="6">
        <f t="shared" si="19"/>
        <v>0.4</v>
      </c>
      <c r="AA76" s="6">
        <f t="shared" si="19"/>
        <v>0.4</v>
      </c>
      <c r="AB76" s="6">
        <f t="shared" si="19"/>
        <v>0.4</v>
      </c>
      <c r="AC76" s="6">
        <f t="shared" si="19"/>
        <v>0.4</v>
      </c>
      <c r="AD76" s="6">
        <f t="shared" si="19"/>
        <v>0.4</v>
      </c>
      <c r="AE76" s="6">
        <f t="shared" si="19"/>
        <v>0.4</v>
      </c>
      <c r="AF76" s="6">
        <f t="shared" si="19"/>
        <v>0.4</v>
      </c>
    </row>
    <row r="77" spans="1:32" s="41" customFormat="1" ht="11.25">
      <c r="A77" s="30" t="s">
        <v>112</v>
      </c>
      <c r="F77"/>
      <c r="G77">
        <f t="shared" si="20"/>
        <v>2013</v>
      </c>
      <c r="H77"/>
      <c r="I77" s="91"/>
      <c r="J77" s="6"/>
      <c r="K77" s="6"/>
      <c r="L77" s="6"/>
      <c r="M77" s="6"/>
      <c r="N77" s="6"/>
      <c r="O77" s="6">
        <f>N76</f>
        <v>0.04000000000000001</v>
      </c>
      <c r="P77" s="6">
        <f t="shared" si="19"/>
        <v>0.08000000000000002</v>
      </c>
      <c r="Q77" s="6">
        <f t="shared" si="19"/>
        <v>0.12</v>
      </c>
      <c r="R77" s="6">
        <f t="shared" si="19"/>
        <v>0.16000000000000003</v>
      </c>
      <c r="S77" s="6">
        <f t="shared" si="19"/>
        <v>0.2</v>
      </c>
      <c r="T77" s="6">
        <f t="shared" si="19"/>
        <v>0.24</v>
      </c>
      <c r="U77" s="6">
        <f t="shared" si="19"/>
        <v>0.27999999999999997</v>
      </c>
      <c r="V77" s="6">
        <f t="shared" si="19"/>
        <v>0.32000000000000006</v>
      </c>
      <c r="W77" s="6">
        <f t="shared" si="19"/>
        <v>0.36000000000000004</v>
      </c>
      <c r="X77" s="6">
        <f t="shared" si="19"/>
        <v>0.4</v>
      </c>
      <c r="Y77" s="6">
        <f t="shared" si="19"/>
        <v>0.4</v>
      </c>
      <c r="Z77" s="6">
        <f t="shared" si="19"/>
        <v>0.4</v>
      </c>
      <c r="AA77" s="6">
        <f t="shared" si="19"/>
        <v>0.4</v>
      </c>
      <c r="AB77" s="6">
        <f t="shared" si="19"/>
        <v>0.4</v>
      </c>
      <c r="AC77" s="6">
        <f t="shared" si="19"/>
        <v>0.4</v>
      </c>
      <c r="AD77" s="6">
        <f t="shared" si="19"/>
        <v>0.4</v>
      </c>
      <c r="AE77" s="6">
        <f t="shared" si="19"/>
        <v>0.4</v>
      </c>
      <c r="AF77" s="6">
        <f t="shared" si="19"/>
        <v>0.4</v>
      </c>
    </row>
    <row r="78" spans="1:32" s="41" customFormat="1" ht="11.25">
      <c r="A78" s="30" t="s">
        <v>112</v>
      </c>
      <c r="F78"/>
      <c r="G78">
        <f t="shared" si="20"/>
        <v>2014</v>
      </c>
      <c r="H78"/>
      <c r="I78" s="91"/>
      <c r="J78" s="6"/>
      <c r="K78" s="6"/>
      <c r="L78" s="6"/>
      <c r="M78" s="6"/>
      <c r="N78" s="6"/>
      <c r="O78" s="6"/>
      <c r="P78" s="6">
        <f>O77</f>
        <v>0.04000000000000001</v>
      </c>
      <c r="Q78" s="6">
        <f t="shared" si="19"/>
        <v>0.08000000000000002</v>
      </c>
      <c r="R78" s="6">
        <f t="shared" si="19"/>
        <v>0.12</v>
      </c>
      <c r="S78" s="6">
        <f t="shared" si="19"/>
        <v>0.16000000000000003</v>
      </c>
      <c r="T78" s="6">
        <f t="shared" si="19"/>
        <v>0.2</v>
      </c>
      <c r="U78" s="6">
        <f t="shared" si="19"/>
        <v>0.24</v>
      </c>
      <c r="V78" s="6">
        <f t="shared" si="19"/>
        <v>0.27999999999999997</v>
      </c>
      <c r="W78" s="6">
        <f t="shared" si="19"/>
        <v>0.32000000000000006</v>
      </c>
      <c r="X78" s="6">
        <f t="shared" si="19"/>
        <v>0.36000000000000004</v>
      </c>
      <c r="Y78" s="6">
        <f t="shared" si="19"/>
        <v>0.4</v>
      </c>
      <c r="Z78" s="6">
        <f t="shared" si="19"/>
        <v>0.4</v>
      </c>
      <c r="AA78" s="6">
        <f t="shared" si="19"/>
        <v>0.4</v>
      </c>
      <c r="AB78" s="6">
        <f t="shared" si="19"/>
        <v>0.4</v>
      </c>
      <c r="AC78" s="6">
        <f t="shared" si="19"/>
        <v>0.4</v>
      </c>
      <c r="AD78" s="6">
        <f t="shared" si="19"/>
        <v>0.4</v>
      </c>
      <c r="AE78" s="6">
        <f t="shared" si="19"/>
        <v>0.4</v>
      </c>
      <c r="AF78" s="6">
        <f t="shared" si="19"/>
        <v>0.4</v>
      </c>
    </row>
    <row r="79" spans="1:32" s="41" customFormat="1" ht="11.25">
      <c r="A79" s="30" t="s">
        <v>112</v>
      </c>
      <c r="F79"/>
      <c r="G79">
        <f t="shared" si="20"/>
        <v>2015</v>
      </c>
      <c r="H79"/>
      <c r="I79" s="91"/>
      <c r="J79" s="6"/>
      <c r="K79" s="6"/>
      <c r="L79" s="6"/>
      <c r="M79" s="6"/>
      <c r="N79" s="6"/>
      <c r="O79" s="6"/>
      <c r="P79" s="6"/>
      <c r="Q79" s="6">
        <f>P78</f>
        <v>0.04000000000000001</v>
      </c>
      <c r="R79" s="6">
        <f t="shared" si="19"/>
        <v>0.08000000000000002</v>
      </c>
      <c r="S79" s="6">
        <f t="shared" si="19"/>
        <v>0.12</v>
      </c>
      <c r="T79" s="6">
        <f t="shared" si="19"/>
        <v>0.16000000000000003</v>
      </c>
      <c r="U79" s="6">
        <f t="shared" si="19"/>
        <v>0.2</v>
      </c>
      <c r="V79" s="6">
        <f t="shared" si="19"/>
        <v>0.24</v>
      </c>
      <c r="W79" s="6">
        <f t="shared" si="19"/>
        <v>0.27999999999999997</v>
      </c>
      <c r="X79" s="6">
        <f t="shared" si="19"/>
        <v>0.32000000000000006</v>
      </c>
      <c r="Y79" s="6">
        <f t="shared" si="19"/>
        <v>0.36000000000000004</v>
      </c>
      <c r="Z79" s="6">
        <f t="shared" si="19"/>
        <v>0.4</v>
      </c>
      <c r="AA79" s="6">
        <f t="shared" si="19"/>
        <v>0.4</v>
      </c>
      <c r="AB79" s="6">
        <f t="shared" si="19"/>
        <v>0.4</v>
      </c>
      <c r="AC79" s="6">
        <f t="shared" si="19"/>
        <v>0.4</v>
      </c>
      <c r="AD79" s="6">
        <f t="shared" si="19"/>
        <v>0.4</v>
      </c>
      <c r="AE79" s="6">
        <f t="shared" si="19"/>
        <v>0.4</v>
      </c>
      <c r="AF79" s="6">
        <f t="shared" si="19"/>
        <v>0.4</v>
      </c>
    </row>
    <row r="80" spans="1:32" s="41" customFormat="1" ht="11.25">
      <c r="A80" s="30" t="s">
        <v>112</v>
      </c>
      <c r="F80"/>
      <c r="G80">
        <f t="shared" si="20"/>
        <v>2016</v>
      </c>
      <c r="H80"/>
      <c r="I80" s="91"/>
      <c r="J80" s="6"/>
      <c r="K80" s="6"/>
      <c r="L80" s="6"/>
      <c r="M80" s="6"/>
      <c r="N80" s="32"/>
      <c r="O80" s="6"/>
      <c r="P80" s="6"/>
      <c r="Q80" s="6"/>
      <c r="R80" s="6">
        <f>Q79</f>
        <v>0.04000000000000001</v>
      </c>
      <c r="S80" s="6">
        <f t="shared" si="19"/>
        <v>0.08000000000000002</v>
      </c>
      <c r="T80" s="6">
        <f t="shared" si="19"/>
        <v>0.12</v>
      </c>
      <c r="U80" s="6">
        <f t="shared" si="19"/>
        <v>0.16000000000000003</v>
      </c>
      <c r="V80" s="6">
        <f t="shared" si="19"/>
        <v>0.2</v>
      </c>
      <c r="W80" s="6">
        <f t="shared" si="19"/>
        <v>0.24</v>
      </c>
      <c r="X80" s="6">
        <f t="shared" si="19"/>
        <v>0.27999999999999997</v>
      </c>
      <c r="Y80" s="6">
        <f t="shared" si="19"/>
        <v>0.32000000000000006</v>
      </c>
      <c r="Z80" s="6">
        <f t="shared" si="19"/>
        <v>0.36000000000000004</v>
      </c>
      <c r="AA80" s="6">
        <f t="shared" si="19"/>
        <v>0.4</v>
      </c>
      <c r="AB80" s="6">
        <f t="shared" si="19"/>
        <v>0.4</v>
      </c>
      <c r="AC80" s="6">
        <f t="shared" si="19"/>
        <v>0.4</v>
      </c>
      <c r="AD80" s="6">
        <f t="shared" si="19"/>
        <v>0.4</v>
      </c>
      <c r="AE80" s="6">
        <f t="shared" si="19"/>
        <v>0.4</v>
      </c>
      <c r="AF80" s="6">
        <f t="shared" si="19"/>
        <v>0.4</v>
      </c>
    </row>
    <row r="81" spans="1:32" s="41" customFormat="1" ht="11.25">
      <c r="A81" s="30" t="s">
        <v>112</v>
      </c>
      <c r="F81"/>
      <c r="G81">
        <f t="shared" si="20"/>
        <v>2017</v>
      </c>
      <c r="H81"/>
      <c r="I81" s="91"/>
      <c r="J81" s="6"/>
      <c r="K81" s="6"/>
      <c r="L81" s="6"/>
      <c r="M81" s="6"/>
      <c r="N81" s="32"/>
      <c r="O81" s="6"/>
      <c r="P81" s="6"/>
      <c r="Q81" s="6"/>
      <c r="R81" s="6"/>
      <c r="S81" s="6">
        <f>R80</f>
        <v>0.04000000000000001</v>
      </c>
      <c r="T81" s="6">
        <f t="shared" si="19"/>
        <v>0.08000000000000002</v>
      </c>
      <c r="U81" s="6">
        <f t="shared" si="19"/>
        <v>0.12</v>
      </c>
      <c r="V81" s="6">
        <f t="shared" si="19"/>
        <v>0.16000000000000003</v>
      </c>
      <c r="W81" s="6">
        <f t="shared" si="19"/>
        <v>0.2</v>
      </c>
      <c r="X81" s="6">
        <f t="shared" si="19"/>
        <v>0.24</v>
      </c>
      <c r="Y81" s="6">
        <f t="shared" si="19"/>
        <v>0.27999999999999997</v>
      </c>
      <c r="Z81" s="6">
        <f t="shared" si="19"/>
        <v>0.32000000000000006</v>
      </c>
      <c r="AA81" s="6">
        <f t="shared" si="19"/>
        <v>0.36000000000000004</v>
      </c>
      <c r="AB81" s="6">
        <f t="shared" si="19"/>
        <v>0.4</v>
      </c>
      <c r="AC81" s="6">
        <f t="shared" si="19"/>
        <v>0.4</v>
      </c>
      <c r="AD81" s="6">
        <f t="shared" si="19"/>
        <v>0.4</v>
      </c>
      <c r="AE81" s="6">
        <f t="shared" si="19"/>
        <v>0.4</v>
      </c>
      <c r="AF81" s="6">
        <f t="shared" si="19"/>
        <v>0.4</v>
      </c>
    </row>
    <row r="82" spans="1:32" s="41" customFormat="1" ht="11.25">
      <c r="A82" s="30" t="s">
        <v>112</v>
      </c>
      <c r="F82"/>
      <c r="G82">
        <f t="shared" si="20"/>
        <v>2018</v>
      </c>
      <c r="H82"/>
      <c r="I82" s="91"/>
      <c r="J82" s="6"/>
      <c r="K82" s="6"/>
      <c r="L82" s="6"/>
      <c r="M82" s="6"/>
      <c r="N82" s="32"/>
      <c r="O82" s="6"/>
      <c r="P82" s="6"/>
      <c r="Q82" s="6"/>
      <c r="R82" s="6"/>
      <c r="S82" s="6"/>
      <c r="T82" s="6">
        <f>S81</f>
        <v>0.04000000000000001</v>
      </c>
      <c r="U82" s="6">
        <f t="shared" si="19"/>
        <v>0.08000000000000002</v>
      </c>
      <c r="V82" s="6">
        <f t="shared" si="19"/>
        <v>0.12</v>
      </c>
      <c r="W82" s="6">
        <f t="shared" si="19"/>
        <v>0.16000000000000003</v>
      </c>
      <c r="X82" s="6">
        <f t="shared" si="19"/>
        <v>0.2</v>
      </c>
      <c r="Y82" s="6">
        <f t="shared" si="19"/>
        <v>0.24</v>
      </c>
      <c r="Z82" s="6">
        <f t="shared" si="19"/>
        <v>0.27999999999999997</v>
      </c>
      <c r="AA82" s="6">
        <f t="shared" si="19"/>
        <v>0.32000000000000006</v>
      </c>
      <c r="AB82" s="6">
        <f t="shared" si="19"/>
        <v>0.36000000000000004</v>
      </c>
      <c r="AC82" s="6">
        <f t="shared" si="19"/>
        <v>0.4</v>
      </c>
      <c r="AD82" s="6">
        <f t="shared" si="19"/>
        <v>0.4</v>
      </c>
      <c r="AE82" s="6">
        <f t="shared" si="19"/>
        <v>0.4</v>
      </c>
      <c r="AF82" s="6">
        <f t="shared" si="19"/>
        <v>0.4</v>
      </c>
    </row>
    <row r="83" spans="1:32" s="41" customFormat="1" ht="11.25">
      <c r="A83" s="30" t="s">
        <v>112</v>
      </c>
      <c r="F83"/>
      <c r="G83">
        <f t="shared" si="20"/>
        <v>2019</v>
      </c>
      <c r="H83"/>
      <c r="I83" s="91"/>
      <c r="J83" s="6"/>
      <c r="K83" s="6"/>
      <c r="L83" s="6"/>
      <c r="M83" s="6"/>
      <c r="N83" s="32"/>
      <c r="O83" s="6"/>
      <c r="P83" s="6"/>
      <c r="Q83" s="6"/>
      <c r="R83" s="6"/>
      <c r="S83" s="6"/>
      <c r="T83" s="6"/>
      <c r="U83" s="6">
        <f>T82</f>
        <v>0.04000000000000001</v>
      </c>
      <c r="V83" s="6">
        <f t="shared" si="19"/>
        <v>0.08000000000000002</v>
      </c>
      <c r="W83" s="6">
        <f t="shared" si="19"/>
        <v>0.12</v>
      </c>
      <c r="X83" s="6">
        <f t="shared" si="19"/>
        <v>0.16000000000000003</v>
      </c>
      <c r="Y83" s="6">
        <f t="shared" si="19"/>
        <v>0.2</v>
      </c>
      <c r="Z83" s="6">
        <f t="shared" si="19"/>
        <v>0.24</v>
      </c>
      <c r="AA83" s="6">
        <f t="shared" si="19"/>
        <v>0.27999999999999997</v>
      </c>
      <c r="AB83" s="6">
        <f t="shared" si="19"/>
        <v>0.32000000000000006</v>
      </c>
      <c r="AC83" s="6">
        <f t="shared" si="19"/>
        <v>0.36000000000000004</v>
      </c>
      <c r="AD83" s="6">
        <f t="shared" si="19"/>
        <v>0.4</v>
      </c>
      <c r="AE83" s="6">
        <f t="shared" si="19"/>
        <v>0.4</v>
      </c>
      <c r="AF83" s="6">
        <f t="shared" si="19"/>
        <v>0.4</v>
      </c>
    </row>
    <row r="84" spans="1:32" s="41" customFormat="1" ht="11.25">
      <c r="A84" s="30" t="s">
        <v>112</v>
      </c>
      <c r="F84"/>
      <c r="G84">
        <f t="shared" si="20"/>
        <v>2020</v>
      </c>
      <c r="H84"/>
      <c r="I84" s="91"/>
      <c r="J84" s="6"/>
      <c r="K84" s="6"/>
      <c r="L84" s="6"/>
      <c r="M84" s="6"/>
      <c r="N84" s="32"/>
      <c r="O84" s="6"/>
      <c r="P84" s="6"/>
      <c r="Q84" s="6"/>
      <c r="R84" s="6"/>
      <c r="S84" s="6"/>
      <c r="T84" s="6"/>
      <c r="U84" s="6"/>
      <c r="V84" s="6">
        <f>U83</f>
        <v>0.04000000000000001</v>
      </c>
      <c r="W84" s="6">
        <f t="shared" si="19"/>
        <v>0.08000000000000002</v>
      </c>
      <c r="X84" s="6">
        <f t="shared" si="19"/>
        <v>0.12</v>
      </c>
      <c r="Y84" s="6">
        <f t="shared" si="19"/>
        <v>0.16000000000000003</v>
      </c>
      <c r="Z84" s="6">
        <f t="shared" si="19"/>
        <v>0.2</v>
      </c>
      <c r="AA84" s="6">
        <f t="shared" si="19"/>
        <v>0.24</v>
      </c>
      <c r="AB84" s="6">
        <f t="shared" si="19"/>
        <v>0.27999999999999997</v>
      </c>
      <c r="AC84" s="6">
        <f t="shared" si="19"/>
        <v>0.32000000000000006</v>
      </c>
      <c r="AD84" s="6">
        <f t="shared" si="19"/>
        <v>0.36000000000000004</v>
      </c>
      <c r="AE84" s="6">
        <f t="shared" si="19"/>
        <v>0.4</v>
      </c>
      <c r="AF84" s="6">
        <f t="shared" si="19"/>
        <v>0.4</v>
      </c>
    </row>
    <row r="85" spans="1:32" s="41" customFormat="1" ht="11.25">
      <c r="A85" s="30" t="s">
        <v>112</v>
      </c>
      <c r="F85"/>
      <c r="G85">
        <f t="shared" si="20"/>
        <v>2021</v>
      </c>
      <c r="H85"/>
      <c r="I85" s="91"/>
      <c r="J85" s="6"/>
      <c r="K85" s="6"/>
      <c r="L85" s="6"/>
      <c r="M85" s="6"/>
      <c r="N85" s="32"/>
      <c r="O85" s="6"/>
      <c r="P85" s="6"/>
      <c r="Q85" s="6"/>
      <c r="R85" s="6"/>
      <c r="S85" s="6"/>
      <c r="T85" s="6"/>
      <c r="U85" s="6"/>
      <c r="V85" s="6"/>
      <c r="W85" s="6">
        <f aca="true" t="shared" si="21" ref="W85:AF85">V84</f>
        <v>0.04000000000000001</v>
      </c>
      <c r="X85" s="6">
        <f t="shared" si="21"/>
        <v>0.08000000000000002</v>
      </c>
      <c r="Y85" s="6">
        <f t="shared" si="21"/>
        <v>0.12</v>
      </c>
      <c r="Z85" s="6">
        <f t="shared" si="21"/>
        <v>0.16000000000000003</v>
      </c>
      <c r="AA85" s="6">
        <f t="shared" si="21"/>
        <v>0.2</v>
      </c>
      <c r="AB85" s="6">
        <f t="shared" si="21"/>
        <v>0.24</v>
      </c>
      <c r="AC85" s="6">
        <f t="shared" si="21"/>
        <v>0.27999999999999997</v>
      </c>
      <c r="AD85" s="6">
        <f t="shared" si="21"/>
        <v>0.32000000000000006</v>
      </c>
      <c r="AE85" s="6">
        <f t="shared" si="21"/>
        <v>0.36000000000000004</v>
      </c>
      <c r="AF85" s="6">
        <f t="shared" si="21"/>
        <v>0.4</v>
      </c>
    </row>
    <row r="86" spans="1:32" s="41" customFormat="1" ht="11.25">
      <c r="A86" s="30" t="s">
        <v>112</v>
      </c>
      <c r="F86"/>
      <c r="G86">
        <f t="shared" si="20"/>
        <v>2022</v>
      </c>
      <c r="H86"/>
      <c r="I86" s="91"/>
      <c r="J86" s="6"/>
      <c r="K86" s="6"/>
      <c r="L86" s="6"/>
      <c r="M86" s="6"/>
      <c r="N86" s="32"/>
      <c r="O86" s="6"/>
      <c r="P86" s="6"/>
      <c r="Q86" s="6"/>
      <c r="R86" s="6"/>
      <c r="S86" s="6"/>
      <c r="T86" s="6"/>
      <c r="U86" s="6"/>
      <c r="V86" s="6"/>
      <c r="W86" s="6"/>
      <c r="X86" s="6">
        <f aca="true" t="shared" si="22" ref="X86:AF86">W85</f>
        <v>0.04000000000000001</v>
      </c>
      <c r="Y86" s="6">
        <f t="shared" si="22"/>
        <v>0.08000000000000002</v>
      </c>
      <c r="Z86" s="6">
        <f t="shared" si="22"/>
        <v>0.12</v>
      </c>
      <c r="AA86" s="6">
        <f t="shared" si="22"/>
        <v>0.16000000000000003</v>
      </c>
      <c r="AB86" s="6">
        <f t="shared" si="22"/>
        <v>0.2</v>
      </c>
      <c r="AC86" s="6">
        <f t="shared" si="22"/>
        <v>0.24</v>
      </c>
      <c r="AD86" s="6">
        <f t="shared" si="22"/>
        <v>0.27999999999999997</v>
      </c>
      <c r="AE86" s="6">
        <f t="shared" si="22"/>
        <v>0.32000000000000006</v>
      </c>
      <c r="AF86" s="6">
        <f t="shared" si="22"/>
        <v>0.36000000000000004</v>
      </c>
    </row>
    <row r="87" spans="1:32" s="41" customFormat="1" ht="11.25">
      <c r="A87" s="30" t="s">
        <v>112</v>
      </c>
      <c r="F87"/>
      <c r="G87">
        <f t="shared" si="20"/>
        <v>2023</v>
      </c>
      <c r="H87"/>
      <c r="I87" s="91"/>
      <c r="J87" s="6"/>
      <c r="K87" s="6"/>
      <c r="L87" s="6"/>
      <c r="M87" s="6"/>
      <c r="N87" s="32"/>
      <c r="O87" s="6"/>
      <c r="P87" s="6"/>
      <c r="Q87" s="6"/>
      <c r="R87" s="6"/>
      <c r="S87" s="6"/>
      <c r="T87" s="6"/>
      <c r="U87" s="6"/>
      <c r="V87" s="6"/>
      <c r="W87" s="6"/>
      <c r="X87" s="6"/>
      <c r="Y87" s="6">
        <f>X86</f>
        <v>0.04000000000000001</v>
      </c>
      <c r="Z87" s="6">
        <f aca="true" t="shared" si="23" ref="Z87:AF92">Y86</f>
        <v>0.08000000000000002</v>
      </c>
      <c r="AA87" s="6">
        <f t="shared" si="23"/>
        <v>0.12</v>
      </c>
      <c r="AB87" s="6">
        <f t="shared" si="23"/>
        <v>0.16000000000000003</v>
      </c>
      <c r="AC87" s="6">
        <f t="shared" si="23"/>
        <v>0.2</v>
      </c>
      <c r="AD87" s="6">
        <f t="shared" si="23"/>
        <v>0.24</v>
      </c>
      <c r="AE87" s="6">
        <f t="shared" si="23"/>
        <v>0.27999999999999997</v>
      </c>
      <c r="AF87" s="6">
        <f t="shared" si="23"/>
        <v>0.32000000000000006</v>
      </c>
    </row>
    <row r="88" spans="1:32" s="41" customFormat="1" ht="11.25">
      <c r="A88" s="30" t="s">
        <v>112</v>
      </c>
      <c r="F88"/>
      <c r="G88">
        <f t="shared" si="20"/>
        <v>2024</v>
      </c>
      <c r="H88" s="6"/>
      <c r="I88" s="91"/>
      <c r="J88" s="6"/>
      <c r="K88" s="6"/>
      <c r="L88" s="6"/>
      <c r="M88" s="6"/>
      <c r="N88" s="32"/>
      <c r="O88" s="6"/>
      <c r="P88" s="6"/>
      <c r="Q88" s="6"/>
      <c r="R88" s="6"/>
      <c r="S88" s="6"/>
      <c r="T88" s="6"/>
      <c r="U88" s="6"/>
      <c r="V88" s="6"/>
      <c r="W88" s="6"/>
      <c r="X88" s="6"/>
      <c r="Y88" s="6"/>
      <c r="Z88" s="6">
        <f>Y87</f>
        <v>0.04000000000000001</v>
      </c>
      <c r="AA88" s="6">
        <f t="shared" si="23"/>
        <v>0.08000000000000002</v>
      </c>
      <c r="AB88" s="6">
        <f t="shared" si="23"/>
        <v>0.12</v>
      </c>
      <c r="AC88" s="6">
        <f t="shared" si="23"/>
        <v>0.16000000000000003</v>
      </c>
      <c r="AD88" s="6">
        <f t="shared" si="23"/>
        <v>0.2</v>
      </c>
      <c r="AE88" s="6">
        <f t="shared" si="23"/>
        <v>0.24</v>
      </c>
      <c r="AF88" s="6">
        <f t="shared" si="23"/>
        <v>0.27999999999999997</v>
      </c>
    </row>
    <row r="89" spans="1:32" s="41" customFormat="1" ht="11.25">
      <c r="A89" s="30" t="s">
        <v>112</v>
      </c>
      <c r="F89"/>
      <c r="G89">
        <f t="shared" si="20"/>
        <v>2025</v>
      </c>
      <c r="H89" s="6"/>
      <c r="I89" s="33"/>
      <c r="J89" s="6"/>
      <c r="K89" s="6"/>
      <c r="L89" s="6"/>
      <c r="M89" s="6"/>
      <c r="N89" s="32"/>
      <c r="O89" s="6"/>
      <c r="P89" s="6"/>
      <c r="Q89" s="6"/>
      <c r="R89" s="6"/>
      <c r="S89" s="6"/>
      <c r="T89" s="6"/>
      <c r="U89" s="6"/>
      <c r="V89" s="6"/>
      <c r="W89" s="6"/>
      <c r="X89" s="6"/>
      <c r="Y89" s="6"/>
      <c r="Z89" s="6"/>
      <c r="AA89" s="6">
        <f>Z88</f>
        <v>0.04000000000000001</v>
      </c>
      <c r="AB89" s="6">
        <f t="shared" si="23"/>
        <v>0.08000000000000002</v>
      </c>
      <c r="AC89" s="6">
        <f t="shared" si="23"/>
        <v>0.12</v>
      </c>
      <c r="AD89" s="6">
        <f t="shared" si="23"/>
        <v>0.16000000000000003</v>
      </c>
      <c r="AE89" s="6">
        <f t="shared" si="23"/>
        <v>0.2</v>
      </c>
      <c r="AF89" s="6">
        <f t="shared" si="23"/>
        <v>0.24</v>
      </c>
    </row>
    <row r="90" spans="1:32" s="41" customFormat="1" ht="11.25">
      <c r="A90" s="30" t="s">
        <v>112</v>
      </c>
      <c r="F90"/>
      <c r="G90">
        <f t="shared" si="20"/>
        <v>2026</v>
      </c>
      <c r="H90" s="6"/>
      <c r="I90" s="33"/>
      <c r="J90" s="6"/>
      <c r="K90" s="6"/>
      <c r="L90" s="6"/>
      <c r="M90" s="6"/>
      <c r="N90" s="32"/>
      <c r="O90" s="6"/>
      <c r="P90" s="6"/>
      <c r="Q90" s="6"/>
      <c r="R90" s="6"/>
      <c r="S90" s="6"/>
      <c r="T90" s="6"/>
      <c r="U90" s="6"/>
      <c r="V90" s="6"/>
      <c r="W90" s="6"/>
      <c r="X90" s="6"/>
      <c r="Y90" s="6"/>
      <c r="Z90" s="6"/>
      <c r="AA90" s="6"/>
      <c r="AB90" s="6">
        <f>AA89</f>
        <v>0.04000000000000001</v>
      </c>
      <c r="AC90" s="6">
        <f t="shared" si="23"/>
        <v>0.08000000000000002</v>
      </c>
      <c r="AD90" s="6">
        <f t="shared" si="23"/>
        <v>0.12</v>
      </c>
      <c r="AE90" s="6">
        <f t="shared" si="23"/>
        <v>0.16000000000000003</v>
      </c>
      <c r="AF90" s="6">
        <f t="shared" si="23"/>
        <v>0.2</v>
      </c>
    </row>
    <row r="91" spans="1:32" s="41" customFormat="1" ht="11.25">
      <c r="A91" s="30" t="s">
        <v>112</v>
      </c>
      <c r="F91"/>
      <c r="G91">
        <f t="shared" si="20"/>
        <v>2027</v>
      </c>
      <c r="H91" s="6"/>
      <c r="I91" s="33"/>
      <c r="J91" s="6"/>
      <c r="K91" s="6"/>
      <c r="L91" s="6"/>
      <c r="M91" s="6"/>
      <c r="N91" s="32"/>
      <c r="O91" s="6"/>
      <c r="P91" s="6"/>
      <c r="Q91" s="6"/>
      <c r="R91" s="6"/>
      <c r="S91" s="6"/>
      <c r="T91" s="6"/>
      <c r="U91" s="6"/>
      <c r="V91" s="6"/>
      <c r="W91" s="6"/>
      <c r="X91" s="6"/>
      <c r="Y91" s="6"/>
      <c r="Z91" s="6"/>
      <c r="AA91" s="6"/>
      <c r="AB91" s="6"/>
      <c r="AC91" s="6">
        <f>AB90</f>
        <v>0.04000000000000001</v>
      </c>
      <c r="AD91" s="6">
        <f t="shared" si="23"/>
        <v>0.08000000000000002</v>
      </c>
      <c r="AE91" s="6">
        <f t="shared" si="23"/>
        <v>0.12</v>
      </c>
      <c r="AF91" s="6">
        <f t="shared" si="23"/>
        <v>0.16000000000000003</v>
      </c>
    </row>
    <row r="92" spans="1:32" s="41" customFormat="1" ht="11.25">
      <c r="A92" s="30" t="s">
        <v>112</v>
      </c>
      <c r="F92"/>
      <c r="G92">
        <f t="shared" si="20"/>
        <v>2028</v>
      </c>
      <c r="H92" s="6"/>
      <c r="I92" s="33"/>
      <c r="J92" s="6"/>
      <c r="K92" s="6"/>
      <c r="L92" s="6"/>
      <c r="M92" s="6"/>
      <c r="N92" s="32"/>
      <c r="O92" s="6"/>
      <c r="P92" s="6"/>
      <c r="Q92" s="6"/>
      <c r="R92" s="6"/>
      <c r="S92" s="6"/>
      <c r="T92" s="6"/>
      <c r="U92" s="6"/>
      <c r="V92" s="6"/>
      <c r="W92" s="6"/>
      <c r="X92" s="6"/>
      <c r="Y92" s="6"/>
      <c r="Z92" s="6"/>
      <c r="AA92" s="6"/>
      <c r="AB92" s="6"/>
      <c r="AC92" s="6"/>
      <c r="AD92" s="6">
        <f>AC91</f>
        <v>0.04000000000000001</v>
      </c>
      <c r="AE92" s="6">
        <f t="shared" si="23"/>
        <v>0.08000000000000002</v>
      </c>
      <c r="AF92" s="6">
        <f t="shared" si="23"/>
        <v>0.12</v>
      </c>
    </row>
    <row r="93" spans="1:32" s="41" customFormat="1" ht="11.25">
      <c r="A93" s="30" t="s">
        <v>112</v>
      </c>
      <c r="F93"/>
      <c r="G93">
        <f t="shared" si="20"/>
        <v>2029</v>
      </c>
      <c r="H93" s="6"/>
      <c r="I93" s="33"/>
      <c r="J93" s="6"/>
      <c r="K93" s="6"/>
      <c r="L93" s="6"/>
      <c r="M93" s="6"/>
      <c r="N93" s="32"/>
      <c r="O93" s="6"/>
      <c r="P93" s="6"/>
      <c r="Q93" s="6"/>
      <c r="R93" s="6"/>
      <c r="S93" s="6"/>
      <c r="T93" s="6"/>
      <c r="U93" s="6"/>
      <c r="V93" s="6"/>
      <c r="W93" s="6"/>
      <c r="X93" s="6"/>
      <c r="Y93" s="6"/>
      <c r="Z93" s="6"/>
      <c r="AA93" s="6"/>
      <c r="AB93" s="6"/>
      <c r="AC93" s="6"/>
      <c r="AD93" s="6"/>
      <c r="AE93" s="6">
        <f>AD92</f>
        <v>0.04000000000000001</v>
      </c>
      <c r="AF93" s="6">
        <f>AE92</f>
        <v>0.08000000000000002</v>
      </c>
    </row>
    <row r="94" spans="1:32" s="41" customFormat="1" ht="11.25">
      <c r="A94" s="30" t="s">
        <v>112</v>
      </c>
      <c r="F94"/>
      <c r="G94">
        <f t="shared" si="20"/>
        <v>2030</v>
      </c>
      <c r="H94" s="6"/>
      <c r="I94" s="33"/>
      <c r="J94" s="6"/>
      <c r="K94" s="6"/>
      <c r="L94" s="6"/>
      <c r="M94" s="6"/>
      <c r="N94" s="32"/>
      <c r="O94" s="6"/>
      <c r="P94" s="6"/>
      <c r="Q94" s="6"/>
      <c r="R94" s="6"/>
      <c r="S94" s="6"/>
      <c r="T94" s="6"/>
      <c r="U94" s="6"/>
      <c r="V94" s="6"/>
      <c r="W94" s="6"/>
      <c r="X94" s="6"/>
      <c r="Y94" s="6"/>
      <c r="Z94" s="6"/>
      <c r="AA94" s="6"/>
      <c r="AB94" s="6"/>
      <c r="AC94" s="6"/>
      <c r="AD94" s="6"/>
      <c r="AE94" s="6"/>
      <c r="AF94" s="6">
        <f>AE93</f>
        <v>0.04000000000000001</v>
      </c>
    </row>
    <row r="95" spans="1:9" s="41" customFormat="1" ht="11.25">
      <c r="A95" s="43"/>
      <c r="H95"/>
      <c r="I95" s="33"/>
    </row>
    <row r="96" spans="1:32" s="42" customFormat="1" ht="11.25">
      <c r="A96" s="44" t="s">
        <v>71</v>
      </c>
      <c r="F96"/>
      <c r="G96">
        <f>G72</f>
        <v>2008</v>
      </c>
      <c r="H96"/>
      <c r="I96" s="33"/>
      <c r="J96" s="16">
        <f aca="true" t="shared" si="24" ref="J96:AF96">(1+$J$61)^(-J72)</f>
        <v>0.9983468243665921</v>
      </c>
      <c r="K96" s="16">
        <f t="shared" si="24"/>
        <v>0.9966963817228589</v>
      </c>
      <c r="L96" s="16">
        <f t="shared" si="24"/>
        <v>0.9950486675506889</v>
      </c>
      <c r="M96" s="16">
        <f t="shared" si="24"/>
        <v>0.9934036773394391</v>
      </c>
      <c r="N96" s="16">
        <f t="shared" si="24"/>
        <v>0.9917614065859238</v>
      </c>
      <c r="O96" s="16">
        <f t="shared" si="24"/>
        <v>0.9901218507944014</v>
      </c>
      <c r="P96" s="16">
        <f t="shared" si="24"/>
        <v>0.9884850054765635</v>
      </c>
      <c r="Q96" s="16">
        <f t="shared" si="24"/>
        <v>0.9868508661515204</v>
      </c>
      <c r="R96" s="16">
        <f t="shared" si="24"/>
        <v>0.9852194283457912</v>
      </c>
      <c r="S96" s="16">
        <f t="shared" si="24"/>
        <v>0.9835906875932898</v>
      </c>
      <c r="T96" s="16">
        <f t="shared" si="24"/>
        <v>0.9835906875932898</v>
      </c>
      <c r="U96" s="16">
        <f t="shared" si="24"/>
        <v>0.9835906875932898</v>
      </c>
      <c r="V96" s="16">
        <f t="shared" si="24"/>
        <v>0.9835906875932898</v>
      </c>
      <c r="W96" s="16">
        <f t="shared" si="24"/>
        <v>0.9835906875932898</v>
      </c>
      <c r="X96" s="16">
        <f t="shared" si="24"/>
        <v>0.9835906875932898</v>
      </c>
      <c r="Y96" s="16">
        <f t="shared" si="24"/>
        <v>0.9835906875932898</v>
      </c>
      <c r="Z96" s="16">
        <f t="shared" si="24"/>
        <v>0.9835906875932898</v>
      </c>
      <c r="AA96" s="16">
        <f t="shared" si="24"/>
        <v>0.9835906875932898</v>
      </c>
      <c r="AB96" s="16">
        <f t="shared" si="24"/>
        <v>0.9835906875932898</v>
      </c>
      <c r="AC96" s="16">
        <f t="shared" si="24"/>
        <v>0.9835906875932898</v>
      </c>
      <c r="AD96" s="16">
        <f t="shared" si="24"/>
        <v>0.9835906875932898</v>
      </c>
      <c r="AE96" s="16">
        <f t="shared" si="24"/>
        <v>0.9835906875932898</v>
      </c>
      <c r="AF96" s="16">
        <f t="shared" si="24"/>
        <v>0.9835906875932898</v>
      </c>
    </row>
    <row r="97" spans="1:32" ht="11.25">
      <c r="A97" s="44" t="s">
        <v>71</v>
      </c>
      <c r="B97" s="44"/>
      <c r="G97">
        <f aca="true" t="shared" si="25" ref="G97:G118">G73</f>
        <v>2009</v>
      </c>
      <c r="J97" s="16">
        <f>(1+$J$61)^(-J73)</f>
        <v>1</v>
      </c>
      <c r="K97" s="16">
        <f>(1+$K$61)^(-K73)</f>
        <v>0.9984142171833077</v>
      </c>
      <c r="L97" s="16">
        <f>(1+$K$61)^(-L73)</f>
        <v>0.9968309490737572</v>
      </c>
      <c r="M97" s="16">
        <f>(1+$K$61)^(-M73)</f>
        <v>0.995250191683569</v>
      </c>
      <c r="N97" s="16">
        <f>(1+$K$61)^(-N73)</f>
        <v>0.9936719410312875</v>
      </c>
      <c r="O97" s="16">
        <f>(1+$K$61)^(-O73)</f>
        <v>0.9920961931417707</v>
      </c>
      <c r="P97" s="16">
        <f aca="true" t="shared" si="26" ref="P97:AF97">(1+$K$61)^(-P73)</f>
        <v>0.9905229440461808</v>
      </c>
      <c r="Q97" s="16">
        <f t="shared" si="26"/>
        <v>0.988952189781973</v>
      </c>
      <c r="R97" s="16">
        <f t="shared" si="26"/>
        <v>0.9873839263928863</v>
      </c>
      <c r="S97" s="16">
        <f t="shared" si="26"/>
        <v>0.9858181499289346</v>
      </c>
      <c r="T97" s="16">
        <f t="shared" si="26"/>
        <v>0.9842548564463939</v>
      </c>
      <c r="U97" s="16">
        <f t="shared" si="26"/>
        <v>0.9842548564463939</v>
      </c>
      <c r="V97" s="16">
        <f t="shared" si="26"/>
        <v>0.9842548564463939</v>
      </c>
      <c r="W97" s="16">
        <f t="shared" si="26"/>
        <v>0.9842548564463939</v>
      </c>
      <c r="X97" s="16">
        <f t="shared" si="26"/>
        <v>0.9842548564463939</v>
      </c>
      <c r="Y97" s="16">
        <f t="shared" si="26"/>
        <v>0.9842548564463939</v>
      </c>
      <c r="Z97" s="16">
        <f t="shared" si="26"/>
        <v>0.9842548564463939</v>
      </c>
      <c r="AA97" s="16">
        <f t="shared" si="26"/>
        <v>0.9842548564463939</v>
      </c>
      <c r="AB97" s="16">
        <f t="shared" si="26"/>
        <v>0.9842548564463939</v>
      </c>
      <c r="AC97" s="16">
        <f t="shared" si="26"/>
        <v>0.9842548564463939</v>
      </c>
      <c r="AD97" s="16">
        <f t="shared" si="26"/>
        <v>0.9842548564463939</v>
      </c>
      <c r="AE97" s="16">
        <f t="shared" si="26"/>
        <v>0.9842548564463939</v>
      </c>
      <c r="AF97" s="16">
        <f t="shared" si="26"/>
        <v>0.9842548564463939</v>
      </c>
    </row>
    <row r="98" spans="1:33" ht="11.25">
      <c r="A98" s="44" t="s">
        <v>71</v>
      </c>
      <c r="B98" s="44"/>
      <c r="G98">
        <f t="shared" si="25"/>
        <v>2010</v>
      </c>
      <c r="H98" s="3"/>
      <c r="I98" s="79"/>
      <c r="J98" s="16">
        <f aca="true" t="shared" si="27" ref="J98:J118">(1+$J$61)^(-J74)</f>
        <v>1</v>
      </c>
      <c r="K98" s="16">
        <f aca="true" t="shared" si="28" ref="K98:K118">(1+$K$61)^(-K74)</f>
        <v>1</v>
      </c>
      <c r="L98" s="17">
        <f aca="true" t="shared" si="29" ref="L98:AF98">(1+$L$61)^(-L74)</f>
        <v>0.9984763930235955</v>
      </c>
      <c r="M98" s="17">
        <f t="shared" si="29"/>
        <v>0.9969551074254097</v>
      </c>
      <c r="N98" s="17">
        <f t="shared" si="29"/>
        <v>0.9954361396685745</v>
      </c>
      <c r="O98" s="17">
        <f t="shared" si="29"/>
        <v>0.9939194862216102</v>
      </c>
      <c r="P98" s="17">
        <f t="shared" si="29"/>
        <v>0.9924051435584188</v>
      </c>
      <c r="Q98" s="17">
        <f t="shared" si="29"/>
        <v>0.9908931081582735</v>
      </c>
      <c r="R98" s="17">
        <f t="shared" si="29"/>
        <v>0.9893833765058123</v>
      </c>
      <c r="S98" s="17">
        <f t="shared" si="29"/>
        <v>0.9878759450910297</v>
      </c>
      <c r="T98" s="17">
        <f t="shared" si="29"/>
        <v>0.9863708104092669</v>
      </c>
      <c r="U98" s="17">
        <f t="shared" si="29"/>
        <v>0.9848679689612055</v>
      </c>
      <c r="V98" s="17">
        <f t="shared" si="29"/>
        <v>0.9848679689612055</v>
      </c>
      <c r="W98" s="17">
        <f t="shared" si="29"/>
        <v>0.9848679689612055</v>
      </c>
      <c r="X98" s="17">
        <f t="shared" si="29"/>
        <v>0.9848679689612055</v>
      </c>
      <c r="Y98" s="17">
        <f t="shared" si="29"/>
        <v>0.9848679689612055</v>
      </c>
      <c r="Z98" s="17">
        <f t="shared" si="29"/>
        <v>0.9848679689612055</v>
      </c>
      <c r="AA98" s="17">
        <f t="shared" si="29"/>
        <v>0.9848679689612055</v>
      </c>
      <c r="AB98" s="17">
        <f t="shared" si="29"/>
        <v>0.9848679689612055</v>
      </c>
      <c r="AC98" s="17">
        <f t="shared" si="29"/>
        <v>0.9848679689612055</v>
      </c>
      <c r="AD98" s="17">
        <f t="shared" si="29"/>
        <v>0.9848679689612055</v>
      </c>
      <c r="AE98" s="17">
        <f t="shared" si="29"/>
        <v>0.9848679689612055</v>
      </c>
      <c r="AF98" s="17">
        <f t="shared" si="29"/>
        <v>0.9848679689612055</v>
      </c>
      <c r="AG98" s="17"/>
    </row>
    <row r="99" spans="1:32" ht="11.25">
      <c r="A99" s="44" t="s">
        <v>71</v>
      </c>
      <c r="B99" s="44"/>
      <c r="G99">
        <f t="shared" si="25"/>
        <v>2011</v>
      </c>
      <c r="H99" s="3"/>
      <c r="I99" s="79"/>
      <c r="J99" s="16">
        <f t="shared" si="27"/>
        <v>1</v>
      </c>
      <c r="K99" s="16">
        <f t="shared" si="28"/>
        <v>1</v>
      </c>
      <c r="L99" s="17">
        <f aca="true" t="shared" si="30" ref="L99:L118">(1+$L$61)^(-L75)</f>
        <v>1</v>
      </c>
      <c r="M99" s="17">
        <f>(1+$M$61)^(-M75)</f>
        <v>0.9985339347728994</v>
      </c>
      <c r="N99" s="17">
        <f>(1+$M$61)^(-N75)</f>
        <v>0.997070018893049</v>
      </c>
      <c r="O99" s="17">
        <f aca="true" t="shared" si="31" ref="O99:AF99">(1+$M$61)^(-O75)</f>
        <v>0.9956082492093653</v>
      </c>
      <c r="P99" s="17">
        <f t="shared" si="31"/>
        <v>0.9941486225753849</v>
      </c>
      <c r="Q99" s="17">
        <f t="shared" si="31"/>
        <v>0.9926911358492574</v>
      </c>
      <c r="R99" s="17">
        <f t="shared" si="31"/>
        <v>0.9912357858937376</v>
      </c>
      <c r="S99" s="17">
        <f t="shared" si="31"/>
        <v>0.9897825695761813</v>
      </c>
      <c r="T99" s="17">
        <f t="shared" si="31"/>
        <v>0.9883314837685353</v>
      </c>
      <c r="U99" s="17">
        <f t="shared" si="31"/>
        <v>0.9868825253473335</v>
      </c>
      <c r="V99" s="17">
        <f t="shared" si="31"/>
        <v>0.9854356911936887</v>
      </c>
      <c r="W99" s="17">
        <f t="shared" si="31"/>
        <v>0.9854356911936887</v>
      </c>
      <c r="X99" s="17">
        <f t="shared" si="31"/>
        <v>0.9854356911936887</v>
      </c>
      <c r="Y99" s="17">
        <f t="shared" si="31"/>
        <v>0.9854356911936887</v>
      </c>
      <c r="Z99" s="17">
        <f t="shared" si="31"/>
        <v>0.9854356911936887</v>
      </c>
      <c r="AA99" s="17">
        <f t="shared" si="31"/>
        <v>0.9854356911936887</v>
      </c>
      <c r="AB99" s="17">
        <f t="shared" si="31"/>
        <v>0.9854356911936887</v>
      </c>
      <c r="AC99" s="17">
        <f t="shared" si="31"/>
        <v>0.9854356911936887</v>
      </c>
      <c r="AD99" s="17">
        <f t="shared" si="31"/>
        <v>0.9854356911936887</v>
      </c>
      <c r="AE99" s="17">
        <f t="shared" si="31"/>
        <v>0.9854356911936887</v>
      </c>
      <c r="AF99" s="17">
        <f t="shared" si="31"/>
        <v>0.9854356911936887</v>
      </c>
    </row>
    <row r="100" spans="1:32" ht="11.25">
      <c r="A100" s="44" t="s">
        <v>71</v>
      </c>
      <c r="B100" s="44"/>
      <c r="G100">
        <f t="shared" si="25"/>
        <v>2012</v>
      </c>
      <c r="H100" s="3"/>
      <c r="I100" s="79"/>
      <c r="J100" s="16">
        <f t="shared" si="27"/>
        <v>1</v>
      </c>
      <c r="K100" s="16">
        <f t="shared" si="28"/>
        <v>1</v>
      </c>
      <c r="L100" s="17">
        <f t="shared" si="30"/>
        <v>1</v>
      </c>
      <c r="M100" s="17">
        <f aca="true" t="shared" si="32" ref="M100:M118">(1+$M$61)^(-M76)</f>
        <v>1</v>
      </c>
      <c r="N100" s="17">
        <f>(1+$N$61)^(-N76)</f>
        <v>0.9985873415933277</v>
      </c>
      <c r="O100" s="17">
        <f aca="true" t="shared" si="33" ref="O100:AF100">(1+$N$61)^(-O76)</f>
        <v>0.9971766787904296</v>
      </c>
      <c r="P100" s="17">
        <f t="shared" si="33"/>
        <v>0.9957680087721988</v>
      </c>
      <c r="Q100" s="17">
        <f t="shared" si="33"/>
        <v>0.9943613287235117</v>
      </c>
      <c r="R100" s="17">
        <f t="shared" si="33"/>
        <v>0.9929566358332208</v>
      </c>
      <c r="S100" s="17">
        <f t="shared" si="33"/>
        <v>0.9915539272941502</v>
      </c>
      <c r="T100" s="17">
        <f t="shared" si="33"/>
        <v>0.9901532003030893</v>
      </c>
      <c r="U100" s="17">
        <f t="shared" si="33"/>
        <v>0.9887544520607876</v>
      </c>
      <c r="V100" s="17">
        <f t="shared" si="33"/>
        <v>0.9873576797719494</v>
      </c>
      <c r="W100" s="17">
        <f t="shared" si="33"/>
        <v>0.9859628806452273</v>
      </c>
      <c r="X100" s="17">
        <f t="shared" si="33"/>
        <v>0.9859628806452273</v>
      </c>
      <c r="Y100" s="17">
        <f t="shared" si="33"/>
        <v>0.9859628806452273</v>
      </c>
      <c r="Z100" s="17">
        <f t="shared" si="33"/>
        <v>0.9859628806452273</v>
      </c>
      <c r="AA100" s="17">
        <f t="shared" si="33"/>
        <v>0.9859628806452273</v>
      </c>
      <c r="AB100" s="17">
        <f t="shared" si="33"/>
        <v>0.9859628806452273</v>
      </c>
      <c r="AC100" s="17">
        <f t="shared" si="33"/>
        <v>0.9859628806452273</v>
      </c>
      <c r="AD100" s="17">
        <f t="shared" si="33"/>
        <v>0.9859628806452273</v>
      </c>
      <c r="AE100" s="17">
        <f t="shared" si="33"/>
        <v>0.9859628806452273</v>
      </c>
      <c r="AF100" s="17">
        <f t="shared" si="33"/>
        <v>0.9859628806452273</v>
      </c>
    </row>
    <row r="101" spans="1:32" ht="11.25">
      <c r="A101" s="44" t="s">
        <v>71</v>
      </c>
      <c r="B101" s="44"/>
      <c r="G101">
        <f t="shared" si="25"/>
        <v>2013</v>
      </c>
      <c r="H101" s="3"/>
      <c r="I101" s="79"/>
      <c r="J101" s="16">
        <f t="shared" si="27"/>
        <v>1</v>
      </c>
      <c r="K101" s="16">
        <f t="shared" si="28"/>
        <v>1</v>
      </c>
      <c r="L101" s="17">
        <f t="shared" si="30"/>
        <v>1</v>
      </c>
      <c r="M101" s="17">
        <f t="shared" si="32"/>
        <v>1</v>
      </c>
      <c r="N101" s="17">
        <f aca="true" t="shared" si="34" ref="N101:N118">(1+$N$61)^(-N77)</f>
        <v>1</v>
      </c>
      <c r="O101" s="17">
        <f>(1+$O$61)^(-O77)</f>
        <v>0.9986370434361383</v>
      </c>
      <c r="P101" s="17">
        <f aca="true" t="shared" si="35" ref="P101:AF101">(1+$O$61)^(-P77)</f>
        <v>0.9972759445228716</v>
      </c>
      <c r="Q101" s="17">
        <f t="shared" si="35"/>
        <v>0.9959167007283029</v>
      </c>
      <c r="R101" s="17">
        <f t="shared" si="35"/>
        <v>0.9945593095239859</v>
      </c>
      <c r="S101" s="17">
        <f t="shared" si="35"/>
        <v>0.9932037683849204</v>
      </c>
      <c r="T101" s="17">
        <f t="shared" si="35"/>
        <v>0.9918500747895481</v>
      </c>
      <c r="U101" s="17">
        <f t="shared" si="35"/>
        <v>0.990498226219747</v>
      </c>
      <c r="V101" s="17">
        <f t="shared" si="35"/>
        <v>0.9891482201608274</v>
      </c>
      <c r="W101" s="17">
        <f t="shared" si="35"/>
        <v>0.9878000541015272</v>
      </c>
      <c r="X101" s="17">
        <f t="shared" si="35"/>
        <v>0.9864537255340067</v>
      </c>
      <c r="Y101" s="17">
        <f t="shared" si="35"/>
        <v>0.9864537255340067</v>
      </c>
      <c r="Z101" s="17">
        <f t="shared" si="35"/>
        <v>0.9864537255340067</v>
      </c>
      <c r="AA101" s="17">
        <f t="shared" si="35"/>
        <v>0.9864537255340067</v>
      </c>
      <c r="AB101" s="17">
        <f t="shared" si="35"/>
        <v>0.9864537255340067</v>
      </c>
      <c r="AC101" s="17">
        <f t="shared" si="35"/>
        <v>0.9864537255340067</v>
      </c>
      <c r="AD101" s="17">
        <f t="shared" si="35"/>
        <v>0.9864537255340067</v>
      </c>
      <c r="AE101" s="17">
        <f t="shared" si="35"/>
        <v>0.9864537255340067</v>
      </c>
      <c r="AF101" s="17">
        <f t="shared" si="35"/>
        <v>0.9864537255340067</v>
      </c>
    </row>
    <row r="102" spans="1:32" ht="11.25">
      <c r="A102" s="44" t="s">
        <v>71</v>
      </c>
      <c r="B102" s="44"/>
      <c r="G102">
        <f t="shared" si="25"/>
        <v>2014</v>
      </c>
      <c r="H102" s="3"/>
      <c r="I102" s="79"/>
      <c r="J102" s="16">
        <f t="shared" si="27"/>
        <v>1</v>
      </c>
      <c r="K102" s="16">
        <f t="shared" si="28"/>
        <v>1</v>
      </c>
      <c r="L102" s="17">
        <f t="shared" si="30"/>
        <v>1</v>
      </c>
      <c r="M102" s="17">
        <f t="shared" si="32"/>
        <v>1</v>
      </c>
      <c r="N102" s="17">
        <f t="shared" si="34"/>
        <v>1</v>
      </c>
      <c r="O102" s="17">
        <f aca="true" t="shared" si="36" ref="O102:O118">(1+$O$61)^(-O78)</f>
        <v>1</v>
      </c>
      <c r="P102" s="17">
        <f>(1+$P$61)^(-P78)</f>
        <v>0.9986834126364048</v>
      </c>
      <c r="Q102" s="17">
        <f aca="true" t="shared" si="37" ref="Q102:AF102">(1+$P$61)^(-Q78)</f>
        <v>0.9973685586750956</v>
      </c>
      <c r="R102" s="17">
        <f t="shared" si="37"/>
        <v>0.9960554358338966</v>
      </c>
      <c r="S102" s="17">
        <f t="shared" si="37"/>
        <v>0.9947440418336373</v>
      </c>
      <c r="T102" s="17">
        <f t="shared" si="37"/>
        <v>0.9934343743981474</v>
      </c>
      <c r="U102" s="17">
        <f t="shared" si="37"/>
        <v>0.9921264312542537</v>
      </c>
      <c r="V102" s="17">
        <f t="shared" si="37"/>
        <v>0.9908202101317755</v>
      </c>
      <c r="W102" s="17">
        <f t="shared" si="37"/>
        <v>0.9895157087635214</v>
      </c>
      <c r="X102" s="17">
        <f t="shared" si="37"/>
        <v>0.9882129248852842</v>
      </c>
      <c r="Y102" s="17">
        <f t="shared" si="37"/>
        <v>0.9869118562358387</v>
      </c>
      <c r="Z102" s="17">
        <f t="shared" si="37"/>
        <v>0.9869118562358387</v>
      </c>
      <c r="AA102" s="17">
        <f t="shared" si="37"/>
        <v>0.9869118562358387</v>
      </c>
      <c r="AB102" s="17">
        <f t="shared" si="37"/>
        <v>0.9869118562358387</v>
      </c>
      <c r="AC102" s="17">
        <f t="shared" si="37"/>
        <v>0.9869118562358387</v>
      </c>
      <c r="AD102" s="17">
        <f t="shared" si="37"/>
        <v>0.9869118562358387</v>
      </c>
      <c r="AE102" s="17">
        <f t="shared" si="37"/>
        <v>0.9869118562358387</v>
      </c>
      <c r="AF102" s="17">
        <f t="shared" si="37"/>
        <v>0.9869118562358387</v>
      </c>
    </row>
    <row r="103" spans="1:32" ht="11.25">
      <c r="A103" s="44" t="s">
        <v>71</v>
      </c>
      <c r="B103" s="44"/>
      <c r="G103">
        <f t="shared" si="25"/>
        <v>2015</v>
      </c>
      <c r="H103" s="3"/>
      <c r="I103" s="79"/>
      <c r="J103" s="16">
        <f t="shared" si="27"/>
        <v>1</v>
      </c>
      <c r="K103" s="16">
        <f t="shared" si="28"/>
        <v>1</v>
      </c>
      <c r="L103" s="17">
        <f t="shared" si="30"/>
        <v>1</v>
      </c>
      <c r="M103" s="17">
        <f t="shared" si="32"/>
        <v>1</v>
      </c>
      <c r="N103" s="17">
        <f t="shared" si="34"/>
        <v>1</v>
      </c>
      <c r="O103" s="17">
        <f t="shared" si="36"/>
        <v>1</v>
      </c>
      <c r="P103" s="17">
        <f aca="true" t="shared" si="38" ref="P103:P118">(1+$P$61)^(-P79)</f>
        <v>1</v>
      </c>
      <c r="Q103" s="17">
        <f aca="true" t="shared" si="39" ref="Q103:AF103">(1+$Q$61)^(-Q79)</f>
        <v>0.9987267732521526</v>
      </c>
      <c r="R103" s="17">
        <f t="shared" si="39"/>
        <v>0.9974551676106567</v>
      </c>
      <c r="S103" s="17">
        <f t="shared" si="39"/>
        <v>0.9961851810114762</v>
      </c>
      <c r="T103" s="17">
        <f t="shared" si="39"/>
        <v>0.9949168113932031</v>
      </c>
      <c r="U103" s="17">
        <f t="shared" si="39"/>
        <v>0.9936500566970543</v>
      </c>
      <c r="V103" s="17">
        <f t="shared" si="39"/>
        <v>0.9923849148668675</v>
      </c>
      <c r="W103" s="17">
        <f t="shared" si="39"/>
        <v>0.9911213838490988</v>
      </c>
      <c r="X103" s="17">
        <f t="shared" si="39"/>
        <v>0.9898594615928187</v>
      </c>
      <c r="Y103" s="17">
        <f t="shared" si="39"/>
        <v>0.9885991460497089</v>
      </c>
      <c r="Z103" s="17">
        <f t="shared" si="39"/>
        <v>0.9873404351740592</v>
      </c>
      <c r="AA103" s="17">
        <f t="shared" si="39"/>
        <v>0.9873404351740592</v>
      </c>
      <c r="AB103" s="17">
        <f t="shared" si="39"/>
        <v>0.9873404351740592</v>
      </c>
      <c r="AC103" s="17">
        <f t="shared" si="39"/>
        <v>0.9873404351740592</v>
      </c>
      <c r="AD103" s="17">
        <f t="shared" si="39"/>
        <v>0.9873404351740592</v>
      </c>
      <c r="AE103" s="17">
        <f t="shared" si="39"/>
        <v>0.9873404351740592</v>
      </c>
      <c r="AF103" s="17">
        <f t="shared" si="39"/>
        <v>0.9873404351740592</v>
      </c>
    </row>
    <row r="104" spans="1:32" ht="11.25">
      <c r="A104" s="44" t="s">
        <v>71</v>
      </c>
      <c r="B104" s="44"/>
      <c r="G104">
        <f t="shared" si="25"/>
        <v>2016</v>
      </c>
      <c r="J104" s="16">
        <f t="shared" si="27"/>
        <v>1</v>
      </c>
      <c r="K104" s="16">
        <f t="shared" si="28"/>
        <v>1</v>
      </c>
      <c r="L104" s="17">
        <f t="shared" si="30"/>
        <v>1</v>
      </c>
      <c r="M104" s="17">
        <f t="shared" si="32"/>
        <v>1</v>
      </c>
      <c r="N104" s="17">
        <f t="shared" si="34"/>
        <v>1</v>
      </c>
      <c r="O104" s="17">
        <f t="shared" si="36"/>
        <v>1</v>
      </c>
      <c r="P104" s="17">
        <f t="shared" si="38"/>
        <v>1</v>
      </c>
      <c r="Q104" s="17">
        <f aca="true" t="shared" si="40" ref="Q104:Q118">(1+$Q$61)^(-Q80)</f>
        <v>1</v>
      </c>
      <c r="R104" s="17">
        <f>(1+$R$61)^(-R80)</f>
        <v>0.9987674086438295</v>
      </c>
      <c r="S104" s="17">
        <f aca="true" t="shared" si="41" ref="S104:AF104">(1+$R$61)^(-S80)</f>
        <v>0.9975363365691101</v>
      </c>
      <c r="T104" s="17">
        <f t="shared" si="41"/>
        <v>0.996306781903189</v>
      </c>
      <c r="U104" s="17">
        <f t="shared" si="41"/>
        <v>0.9950787427757212</v>
      </c>
      <c r="V104" s="17">
        <f t="shared" si="41"/>
        <v>0.9938522173186666</v>
      </c>
      <c r="W104" s="17">
        <f t="shared" si="41"/>
        <v>0.9926272036662888</v>
      </c>
      <c r="X104" s="17">
        <f t="shared" si="41"/>
        <v>0.9914036999551499</v>
      </c>
      <c r="Y104" s="17">
        <f t="shared" si="41"/>
        <v>0.9901817043241096</v>
      </c>
      <c r="Z104" s="17">
        <f t="shared" si="41"/>
        <v>0.9889612149143215</v>
      </c>
      <c r="AA104" s="17">
        <f t="shared" si="41"/>
        <v>0.9877422298692303</v>
      </c>
      <c r="AB104" s="17">
        <f t="shared" si="41"/>
        <v>0.9877422298692303</v>
      </c>
      <c r="AC104" s="17">
        <f t="shared" si="41"/>
        <v>0.9877422298692303</v>
      </c>
      <c r="AD104" s="17">
        <f t="shared" si="41"/>
        <v>0.9877422298692303</v>
      </c>
      <c r="AE104" s="17">
        <f t="shared" si="41"/>
        <v>0.9877422298692303</v>
      </c>
      <c r="AF104" s="17">
        <f t="shared" si="41"/>
        <v>0.9877422298692303</v>
      </c>
    </row>
    <row r="105" spans="1:32" ht="11.25">
      <c r="A105" s="44" t="s">
        <v>71</v>
      </c>
      <c r="B105" s="44"/>
      <c r="G105">
        <f t="shared" si="25"/>
        <v>2017</v>
      </c>
      <c r="J105" s="16">
        <f t="shared" si="27"/>
        <v>1</v>
      </c>
      <c r="K105" s="16">
        <f t="shared" si="28"/>
        <v>1</v>
      </c>
      <c r="L105" s="17">
        <f t="shared" si="30"/>
        <v>1</v>
      </c>
      <c r="M105" s="17">
        <f t="shared" si="32"/>
        <v>1</v>
      </c>
      <c r="N105" s="17">
        <f t="shared" si="34"/>
        <v>1</v>
      </c>
      <c r="O105" s="17">
        <f t="shared" si="36"/>
        <v>1</v>
      </c>
      <c r="P105" s="17">
        <f t="shared" si="38"/>
        <v>1</v>
      </c>
      <c r="Q105" s="17">
        <f t="shared" si="40"/>
        <v>1</v>
      </c>
      <c r="R105" s="17">
        <f>(1+$R$61)^(-R81)</f>
        <v>1</v>
      </c>
      <c r="S105" s="17">
        <f>(1+$S$61)^(-S81)</f>
        <v>0.9988055676691736</v>
      </c>
      <c r="T105" s="17">
        <f aca="true" t="shared" si="42" ref="T105:AF105">(1+$S$61)^(-T81)</f>
        <v>0.99761256200694</v>
      </c>
      <c r="U105" s="17">
        <f t="shared" si="42"/>
        <v>0.9964209813092404</v>
      </c>
      <c r="V105" s="17">
        <f t="shared" si="42"/>
        <v>0.9952308238740508</v>
      </c>
      <c r="W105" s="17">
        <f t="shared" si="42"/>
        <v>0.9940420880013805</v>
      </c>
      <c r="X105" s="17">
        <f t="shared" si="42"/>
        <v>0.9928547719932693</v>
      </c>
      <c r="Y105" s="17">
        <f t="shared" si="42"/>
        <v>0.9916688741537852</v>
      </c>
      <c r="Z105" s="17">
        <f t="shared" si="42"/>
        <v>0.9904843927890217</v>
      </c>
      <c r="AA105" s="17">
        <f t="shared" si="42"/>
        <v>0.9893013262070955</v>
      </c>
      <c r="AB105" s="17">
        <f t="shared" si="42"/>
        <v>0.9881196727181442</v>
      </c>
      <c r="AC105" s="17">
        <f t="shared" si="42"/>
        <v>0.9881196727181442</v>
      </c>
      <c r="AD105" s="17">
        <f t="shared" si="42"/>
        <v>0.9881196727181442</v>
      </c>
      <c r="AE105" s="17">
        <f t="shared" si="42"/>
        <v>0.9881196727181442</v>
      </c>
      <c r="AF105" s="17">
        <f t="shared" si="42"/>
        <v>0.9881196727181442</v>
      </c>
    </row>
    <row r="106" spans="1:32" ht="11.25">
      <c r="A106" s="44" t="s">
        <v>71</v>
      </c>
      <c r="B106" s="44"/>
      <c r="G106">
        <f t="shared" si="25"/>
        <v>2018</v>
      </c>
      <c r="J106" s="16">
        <f t="shared" si="27"/>
        <v>1</v>
      </c>
      <c r="K106" s="16">
        <f t="shared" si="28"/>
        <v>1</v>
      </c>
      <c r="L106" s="17">
        <f t="shared" si="30"/>
        <v>1</v>
      </c>
      <c r="M106" s="17">
        <f t="shared" si="32"/>
        <v>1</v>
      </c>
      <c r="N106" s="17">
        <f t="shared" si="34"/>
        <v>1</v>
      </c>
      <c r="O106" s="17">
        <f t="shared" si="36"/>
        <v>1</v>
      </c>
      <c r="P106" s="17">
        <f t="shared" si="38"/>
        <v>1</v>
      </c>
      <c r="Q106" s="17">
        <f t="shared" si="40"/>
        <v>1</v>
      </c>
      <c r="R106" s="17">
        <f>(1+$R$61)^(-R82)</f>
        <v>1</v>
      </c>
      <c r="S106" s="17">
        <f>(1+$S$61)^(-S82)</f>
        <v>1</v>
      </c>
      <c r="T106" s="17">
        <f>(1+$T$61)^(-T82)</f>
        <v>0.9988414697798754</v>
      </c>
      <c r="U106" s="17">
        <f aca="true" t="shared" si="43" ref="U106:AF106">(1+$T$61)^(-U82)</f>
        <v>0.997684281752022</v>
      </c>
      <c r="V106" s="17">
        <f t="shared" si="43"/>
        <v>0.996528434361469</v>
      </c>
      <c r="W106" s="17">
        <f t="shared" si="43"/>
        <v>0.995373926055048</v>
      </c>
      <c r="X106" s="17">
        <f t="shared" si="43"/>
        <v>0.9942207552813892</v>
      </c>
      <c r="Y106" s="17">
        <f t="shared" si="43"/>
        <v>0.9930689204909208</v>
      </c>
      <c r="Z106" s="17">
        <f t="shared" si="43"/>
        <v>0.9919184201358655</v>
      </c>
      <c r="AA106" s="17">
        <f t="shared" si="43"/>
        <v>0.9907692526702401</v>
      </c>
      <c r="AB106" s="17">
        <f t="shared" si="43"/>
        <v>0.9896214165498516</v>
      </c>
      <c r="AC106" s="17">
        <f t="shared" si="43"/>
        <v>0.9884749102322961</v>
      </c>
      <c r="AD106" s="17">
        <f t="shared" si="43"/>
        <v>0.9884749102322961</v>
      </c>
      <c r="AE106" s="17">
        <f t="shared" si="43"/>
        <v>0.9884749102322961</v>
      </c>
      <c r="AF106" s="17">
        <f t="shared" si="43"/>
        <v>0.9884749102322961</v>
      </c>
    </row>
    <row r="107" spans="1:32" ht="11.25">
      <c r="A107" s="44" t="s">
        <v>71</v>
      </c>
      <c r="B107" s="44"/>
      <c r="G107">
        <f t="shared" si="25"/>
        <v>2019</v>
      </c>
      <c r="J107" s="16">
        <f t="shared" si="27"/>
        <v>1</v>
      </c>
      <c r="K107" s="16">
        <f t="shared" si="28"/>
        <v>1</v>
      </c>
      <c r="L107" s="17">
        <f t="shared" si="30"/>
        <v>1</v>
      </c>
      <c r="M107" s="17">
        <f t="shared" si="32"/>
        <v>1</v>
      </c>
      <c r="N107" s="17">
        <f t="shared" si="34"/>
        <v>1</v>
      </c>
      <c r="O107" s="17">
        <f t="shared" si="36"/>
        <v>1</v>
      </c>
      <c r="P107" s="17">
        <f t="shared" si="38"/>
        <v>1</v>
      </c>
      <c r="Q107" s="17">
        <f t="shared" si="40"/>
        <v>1</v>
      </c>
      <c r="R107" s="17">
        <f>(1+$R$61)^(-R83)</f>
        <v>1</v>
      </c>
      <c r="S107" s="17">
        <f>(1+$S$61)^(-S83)</f>
        <v>1</v>
      </c>
      <c r="T107" s="17">
        <f>(1+$T$61)^(-T83)</f>
        <v>1</v>
      </c>
      <c r="U107" s="17">
        <f>(1+$U$61)^(-U83)</f>
        <v>0.9988753092406637</v>
      </c>
      <c r="V107" s="17">
        <f aca="true" t="shared" si="44" ref="V107:AF107">(1+$U$61)^(-V83)</f>
        <v>0.9977518834106316</v>
      </c>
      <c r="W107" s="17">
        <f t="shared" si="44"/>
        <v>0.9966297210872492</v>
      </c>
      <c r="X107" s="17">
        <f t="shared" si="44"/>
        <v>0.9955088208494626</v>
      </c>
      <c r="Y107" s="17">
        <f t="shared" si="44"/>
        <v>0.9943891812778154</v>
      </c>
      <c r="Z107" s="17">
        <f t="shared" si="44"/>
        <v>0.9932708009544482</v>
      </c>
      <c r="AA107" s="17">
        <f t="shared" si="44"/>
        <v>0.9921536784630962</v>
      </c>
      <c r="AB107" s="17">
        <f t="shared" si="44"/>
        <v>0.9910378123890873</v>
      </c>
      <c r="AC107" s="17">
        <f t="shared" si="44"/>
        <v>0.9899232013193404</v>
      </c>
      <c r="AD107" s="17">
        <f t="shared" si="44"/>
        <v>0.9888098438423639</v>
      </c>
      <c r="AE107" s="17">
        <f t="shared" si="44"/>
        <v>0.9888098438423639</v>
      </c>
      <c r="AF107" s="17">
        <f t="shared" si="44"/>
        <v>0.9888098438423639</v>
      </c>
    </row>
    <row r="108" spans="1:32" ht="11.25">
      <c r="A108" s="44" t="s">
        <v>71</v>
      </c>
      <c r="B108" s="44"/>
      <c r="G108">
        <f t="shared" si="25"/>
        <v>2020</v>
      </c>
      <c r="J108" s="16">
        <f t="shared" si="27"/>
        <v>1</v>
      </c>
      <c r="K108" s="16">
        <f t="shared" si="28"/>
        <v>1</v>
      </c>
      <c r="L108" s="17">
        <f t="shared" si="30"/>
        <v>1</v>
      </c>
      <c r="M108" s="17">
        <f t="shared" si="32"/>
        <v>1</v>
      </c>
      <c r="N108" s="17">
        <f t="shared" si="34"/>
        <v>1</v>
      </c>
      <c r="O108" s="17">
        <f t="shared" si="36"/>
        <v>1</v>
      </c>
      <c r="P108" s="17">
        <f t="shared" si="38"/>
        <v>1</v>
      </c>
      <c r="Q108" s="17">
        <f t="shared" si="40"/>
        <v>1</v>
      </c>
      <c r="R108" s="17">
        <f>(1+$R$61)^(-R84)</f>
        <v>1</v>
      </c>
      <c r="S108" s="17">
        <f>(1+$S$61)^(-S84)</f>
        <v>1</v>
      </c>
      <c r="T108" s="17">
        <f>(1+$T$61)^(-T84)</f>
        <v>1</v>
      </c>
      <c r="U108" s="17">
        <f>(1+$U$61)^(-U84)</f>
        <v>1</v>
      </c>
      <c r="V108" s="17">
        <f>(1+$V$61)^(-V84)</f>
        <v>0.9989072586421979</v>
      </c>
      <c r="W108" s="17">
        <f aca="true" t="shared" si="45" ref="W108:AF108">(1+$V$61)^(-W84)</f>
        <v>0.997815711368071</v>
      </c>
      <c r="X108" s="17">
        <f t="shared" si="45"/>
        <v>0.9967253568727942</v>
      </c>
      <c r="Y108" s="17">
        <f t="shared" si="45"/>
        <v>0.9956361938529693</v>
      </c>
      <c r="Z108" s="17">
        <f t="shared" si="45"/>
        <v>0.9945482210066214</v>
      </c>
      <c r="AA108" s="17">
        <f t="shared" si="45"/>
        <v>0.9934614370331991</v>
      </c>
      <c r="AB108" s="17">
        <f t="shared" si="45"/>
        <v>0.9923758406335713</v>
      </c>
      <c r="AC108" s="17">
        <f t="shared" si="45"/>
        <v>0.9912914305100275</v>
      </c>
      <c r="AD108" s="17">
        <f t="shared" si="45"/>
        <v>0.9902082053662744</v>
      </c>
      <c r="AE108" s="17">
        <f t="shared" si="45"/>
        <v>0.9891261639074357</v>
      </c>
      <c r="AF108" s="17">
        <f t="shared" si="45"/>
        <v>0.9891261639074357</v>
      </c>
    </row>
    <row r="109" spans="1:32" ht="11.25">
      <c r="A109" s="44" t="s">
        <v>71</v>
      </c>
      <c r="G109">
        <f t="shared" si="25"/>
        <v>2021</v>
      </c>
      <c r="J109" s="16">
        <f t="shared" si="27"/>
        <v>1</v>
      </c>
      <c r="K109" s="16">
        <f t="shared" si="28"/>
        <v>1</v>
      </c>
      <c r="L109" s="17">
        <f t="shared" si="30"/>
        <v>1</v>
      </c>
      <c r="M109" s="17">
        <f t="shared" si="32"/>
        <v>1</v>
      </c>
      <c r="N109" s="17">
        <f t="shared" si="34"/>
        <v>1</v>
      </c>
      <c r="O109" s="17">
        <f t="shared" si="36"/>
        <v>1</v>
      </c>
      <c r="P109" s="17">
        <f t="shared" si="38"/>
        <v>1</v>
      </c>
      <c r="Q109" s="17">
        <f t="shared" si="40"/>
        <v>1</v>
      </c>
      <c r="R109" s="17">
        <f aca="true" t="shared" si="46" ref="R109:R118">(1+$R$61)^(-R85)</f>
        <v>1</v>
      </c>
      <c r="S109" s="17">
        <f aca="true" t="shared" si="47" ref="S109:S118">(1+$S$61)^(-S85)</f>
        <v>1</v>
      </c>
      <c r="T109" s="17">
        <f aca="true" t="shared" si="48" ref="T109:T118">(1+$T$61)^(-T85)</f>
        <v>1</v>
      </c>
      <c r="U109" s="17">
        <f aca="true" t="shared" si="49" ref="U109:U118">(1+$U$61)^(-U85)</f>
        <v>1</v>
      </c>
      <c r="V109" s="17">
        <f aca="true" t="shared" si="50" ref="V109:AF118">(1+$V$61)^(-V85)</f>
        <v>1</v>
      </c>
      <c r="W109" s="17">
        <f t="shared" si="50"/>
        <v>0.9989072586421979</v>
      </c>
      <c r="X109" s="17">
        <f t="shared" si="50"/>
        <v>0.997815711368071</v>
      </c>
      <c r="Y109" s="17">
        <f t="shared" si="50"/>
        <v>0.9967253568727942</v>
      </c>
      <c r="Z109" s="17">
        <f t="shared" si="50"/>
        <v>0.9956361938529693</v>
      </c>
      <c r="AA109" s="17">
        <f t="shared" si="50"/>
        <v>0.9945482210066214</v>
      </c>
      <c r="AB109" s="17">
        <f t="shared" si="50"/>
        <v>0.9934614370331991</v>
      </c>
      <c r="AC109" s="17">
        <f t="shared" si="50"/>
        <v>0.9923758406335713</v>
      </c>
      <c r="AD109" s="17">
        <f t="shared" si="50"/>
        <v>0.9912914305100275</v>
      </c>
      <c r="AE109" s="17">
        <f t="shared" si="50"/>
        <v>0.9902082053662744</v>
      </c>
      <c r="AF109" s="17">
        <f t="shared" si="50"/>
        <v>0.9891261639074357</v>
      </c>
    </row>
    <row r="110" spans="1:32" ht="11.25">
      <c r="A110" s="44" t="s">
        <v>71</v>
      </c>
      <c r="G110">
        <f t="shared" si="25"/>
        <v>2022</v>
      </c>
      <c r="J110" s="16">
        <f t="shared" si="27"/>
        <v>1</v>
      </c>
      <c r="K110" s="16">
        <f t="shared" si="28"/>
        <v>1</v>
      </c>
      <c r="L110" s="17">
        <f t="shared" si="30"/>
        <v>1</v>
      </c>
      <c r="M110" s="17">
        <f t="shared" si="32"/>
        <v>1</v>
      </c>
      <c r="N110" s="17">
        <f t="shared" si="34"/>
        <v>1</v>
      </c>
      <c r="O110" s="17">
        <f t="shared" si="36"/>
        <v>1</v>
      </c>
      <c r="P110" s="17">
        <f t="shared" si="38"/>
        <v>1</v>
      </c>
      <c r="Q110" s="17">
        <f t="shared" si="40"/>
        <v>1</v>
      </c>
      <c r="R110" s="17">
        <f t="shared" si="46"/>
        <v>1</v>
      </c>
      <c r="S110" s="17">
        <f t="shared" si="47"/>
        <v>1</v>
      </c>
      <c r="T110" s="17">
        <f t="shared" si="48"/>
        <v>1</v>
      </c>
      <c r="U110" s="17">
        <f t="shared" si="49"/>
        <v>1</v>
      </c>
      <c r="V110" s="17">
        <f t="shared" si="50"/>
        <v>1</v>
      </c>
      <c r="W110" s="17">
        <f t="shared" si="50"/>
        <v>1</v>
      </c>
      <c r="X110" s="17">
        <f t="shared" si="50"/>
        <v>0.9989072586421979</v>
      </c>
      <c r="Y110" s="17">
        <f t="shared" si="50"/>
        <v>0.997815711368071</v>
      </c>
      <c r="Z110" s="17">
        <f t="shared" si="50"/>
        <v>0.9967253568727942</v>
      </c>
      <c r="AA110" s="17">
        <f t="shared" si="50"/>
        <v>0.9956361938529693</v>
      </c>
      <c r="AB110" s="17">
        <f t="shared" si="50"/>
        <v>0.9945482210066214</v>
      </c>
      <c r="AC110" s="17">
        <f t="shared" si="50"/>
        <v>0.9934614370331991</v>
      </c>
      <c r="AD110" s="17">
        <f t="shared" si="50"/>
        <v>0.9923758406335713</v>
      </c>
      <c r="AE110" s="17">
        <f t="shared" si="50"/>
        <v>0.9912914305100275</v>
      </c>
      <c r="AF110" s="17">
        <f t="shared" si="50"/>
        <v>0.9902082053662744</v>
      </c>
    </row>
    <row r="111" spans="1:32" ht="11.25">
      <c r="A111" s="44" t="s">
        <v>71</v>
      </c>
      <c r="G111">
        <f t="shared" si="25"/>
        <v>2023</v>
      </c>
      <c r="J111" s="16">
        <f t="shared" si="27"/>
        <v>1</v>
      </c>
      <c r="K111" s="16">
        <f t="shared" si="28"/>
        <v>1</v>
      </c>
      <c r="L111" s="17">
        <f t="shared" si="30"/>
        <v>1</v>
      </c>
      <c r="M111" s="17">
        <f t="shared" si="32"/>
        <v>1</v>
      </c>
      <c r="N111" s="17">
        <f t="shared" si="34"/>
        <v>1</v>
      </c>
      <c r="O111" s="17">
        <f t="shared" si="36"/>
        <v>1</v>
      </c>
      <c r="P111" s="17">
        <f t="shared" si="38"/>
        <v>1</v>
      </c>
      <c r="Q111" s="17">
        <f t="shared" si="40"/>
        <v>1</v>
      </c>
      <c r="R111" s="17">
        <f t="shared" si="46"/>
        <v>1</v>
      </c>
      <c r="S111" s="17">
        <f t="shared" si="47"/>
        <v>1</v>
      </c>
      <c r="T111" s="17">
        <f t="shared" si="48"/>
        <v>1</v>
      </c>
      <c r="U111" s="17">
        <f t="shared" si="49"/>
        <v>1</v>
      </c>
      <c r="V111" s="17">
        <f t="shared" si="50"/>
        <v>1</v>
      </c>
      <c r="W111" s="17">
        <f t="shared" si="50"/>
        <v>1</v>
      </c>
      <c r="X111" s="17">
        <f t="shared" si="50"/>
        <v>1</v>
      </c>
      <c r="Y111" s="17">
        <f t="shared" si="50"/>
        <v>0.9989072586421979</v>
      </c>
      <c r="Z111" s="17">
        <f t="shared" si="50"/>
        <v>0.997815711368071</v>
      </c>
      <c r="AA111" s="17">
        <f t="shared" si="50"/>
        <v>0.9967253568727942</v>
      </c>
      <c r="AB111" s="17">
        <f t="shared" si="50"/>
        <v>0.9956361938529693</v>
      </c>
      <c r="AC111" s="17">
        <f t="shared" si="50"/>
        <v>0.9945482210066214</v>
      </c>
      <c r="AD111" s="17">
        <f t="shared" si="50"/>
        <v>0.9934614370331991</v>
      </c>
      <c r="AE111" s="17">
        <f t="shared" si="50"/>
        <v>0.9923758406335713</v>
      </c>
      <c r="AF111" s="17">
        <f t="shared" si="50"/>
        <v>0.9912914305100275</v>
      </c>
    </row>
    <row r="112" spans="1:32" ht="11.25">
      <c r="A112" s="44" t="s">
        <v>71</v>
      </c>
      <c r="G112">
        <f t="shared" si="25"/>
        <v>2024</v>
      </c>
      <c r="J112" s="16">
        <f t="shared" si="27"/>
        <v>1</v>
      </c>
      <c r="K112" s="16">
        <f t="shared" si="28"/>
        <v>1</v>
      </c>
      <c r="L112" s="17">
        <f t="shared" si="30"/>
        <v>1</v>
      </c>
      <c r="M112" s="17">
        <f t="shared" si="32"/>
        <v>1</v>
      </c>
      <c r="N112" s="17">
        <f t="shared" si="34"/>
        <v>1</v>
      </c>
      <c r="O112" s="17">
        <f t="shared" si="36"/>
        <v>1</v>
      </c>
      <c r="P112" s="17">
        <f t="shared" si="38"/>
        <v>1</v>
      </c>
      <c r="Q112" s="17">
        <f t="shared" si="40"/>
        <v>1</v>
      </c>
      <c r="R112" s="17">
        <f t="shared" si="46"/>
        <v>1</v>
      </c>
      <c r="S112" s="17">
        <f t="shared" si="47"/>
        <v>1</v>
      </c>
      <c r="T112" s="17">
        <f t="shared" si="48"/>
        <v>1</v>
      </c>
      <c r="U112" s="17">
        <f t="shared" si="49"/>
        <v>1</v>
      </c>
      <c r="V112" s="17">
        <f t="shared" si="50"/>
        <v>1</v>
      </c>
      <c r="W112" s="17">
        <f t="shared" si="50"/>
        <v>1</v>
      </c>
      <c r="X112" s="17">
        <f t="shared" si="50"/>
        <v>1</v>
      </c>
      <c r="Y112" s="17">
        <f t="shared" si="50"/>
        <v>1</v>
      </c>
      <c r="Z112" s="17">
        <f t="shared" si="50"/>
        <v>0.9989072586421979</v>
      </c>
      <c r="AA112" s="17">
        <f t="shared" si="50"/>
        <v>0.997815711368071</v>
      </c>
      <c r="AB112" s="17">
        <f t="shared" si="50"/>
        <v>0.9967253568727942</v>
      </c>
      <c r="AC112" s="17">
        <f t="shared" si="50"/>
        <v>0.9956361938529693</v>
      </c>
      <c r="AD112" s="17">
        <f t="shared" si="50"/>
        <v>0.9945482210066214</v>
      </c>
      <c r="AE112" s="17">
        <f t="shared" si="50"/>
        <v>0.9934614370331991</v>
      </c>
      <c r="AF112" s="17">
        <f t="shared" si="50"/>
        <v>0.9923758406335713</v>
      </c>
    </row>
    <row r="113" spans="1:32" ht="11.25">
      <c r="A113" s="44" t="s">
        <v>71</v>
      </c>
      <c r="G113">
        <f t="shared" si="25"/>
        <v>2025</v>
      </c>
      <c r="J113" s="16">
        <f t="shared" si="27"/>
        <v>1</v>
      </c>
      <c r="K113" s="16">
        <f t="shared" si="28"/>
        <v>1</v>
      </c>
      <c r="L113" s="17">
        <f t="shared" si="30"/>
        <v>1</v>
      </c>
      <c r="M113" s="17">
        <f t="shared" si="32"/>
        <v>1</v>
      </c>
      <c r="N113" s="17">
        <f t="shared" si="34"/>
        <v>1</v>
      </c>
      <c r="O113" s="17">
        <f t="shared" si="36"/>
        <v>1</v>
      </c>
      <c r="P113" s="17">
        <f t="shared" si="38"/>
        <v>1</v>
      </c>
      <c r="Q113" s="17">
        <f t="shared" si="40"/>
        <v>1</v>
      </c>
      <c r="R113" s="17">
        <f t="shared" si="46"/>
        <v>1</v>
      </c>
      <c r="S113" s="17">
        <f t="shared" si="47"/>
        <v>1</v>
      </c>
      <c r="T113" s="17">
        <f t="shared" si="48"/>
        <v>1</v>
      </c>
      <c r="U113" s="17">
        <f t="shared" si="49"/>
        <v>1</v>
      </c>
      <c r="V113" s="17">
        <f t="shared" si="50"/>
        <v>1</v>
      </c>
      <c r="W113" s="17">
        <f t="shared" si="50"/>
        <v>1</v>
      </c>
      <c r="X113" s="17">
        <f t="shared" si="50"/>
        <v>1</v>
      </c>
      <c r="Y113" s="17">
        <f t="shared" si="50"/>
        <v>1</v>
      </c>
      <c r="Z113" s="17">
        <f t="shared" si="50"/>
        <v>1</v>
      </c>
      <c r="AA113" s="17">
        <f t="shared" si="50"/>
        <v>0.9989072586421979</v>
      </c>
      <c r="AB113" s="17">
        <f t="shared" si="50"/>
        <v>0.997815711368071</v>
      </c>
      <c r="AC113" s="17">
        <f t="shared" si="50"/>
        <v>0.9967253568727942</v>
      </c>
      <c r="AD113" s="17">
        <f t="shared" si="50"/>
        <v>0.9956361938529693</v>
      </c>
      <c r="AE113" s="17">
        <f t="shared" si="50"/>
        <v>0.9945482210066214</v>
      </c>
      <c r="AF113" s="17">
        <f t="shared" si="50"/>
        <v>0.9934614370331991</v>
      </c>
    </row>
    <row r="114" spans="1:32" ht="11.25">
      <c r="A114" s="44" t="s">
        <v>71</v>
      </c>
      <c r="G114">
        <f t="shared" si="25"/>
        <v>2026</v>
      </c>
      <c r="J114" s="16">
        <f t="shared" si="27"/>
        <v>1</v>
      </c>
      <c r="K114" s="16">
        <f t="shared" si="28"/>
        <v>1</v>
      </c>
      <c r="L114" s="17">
        <f t="shared" si="30"/>
        <v>1</v>
      </c>
      <c r="M114" s="17">
        <f t="shared" si="32"/>
        <v>1</v>
      </c>
      <c r="N114" s="17">
        <f t="shared" si="34"/>
        <v>1</v>
      </c>
      <c r="O114" s="17">
        <f t="shared" si="36"/>
        <v>1</v>
      </c>
      <c r="P114" s="17">
        <f t="shared" si="38"/>
        <v>1</v>
      </c>
      <c r="Q114" s="17">
        <f t="shared" si="40"/>
        <v>1</v>
      </c>
      <c r="R114" s="17">
        <f t="shared" si="46"/>
        <v>1</v>
      </c>
      <c r="S114" s="17">
        <f t="shared" si="47"/>
        <v>1</v>
      </c>
      <c r="T114" s="17">
        <f t="shared" si="48"/>
        <v>1</v>
      </c>
      <c r="U114" s="17">
        <f t="shared" si="49"/>
        <v>1</v>
      </c>
      <c r="V114" s="17">
        <f t="shared" si="50"/>
        <v>1</v>
      </c>
      <c r="W114" s="17">
        <f t="shared" si="50"/>
        <v>1</v>
      </c>
      <c r="X114" s="17">
        <f t="shared" si="50"/>
        <v>1</v>
      </c>
      <c r="Y114" s="17">
        <f t="shared" si="50"/>
        <v>1</v>
      </c>
      <c r="Z114" s="17">
        <f t="shared" si="50"/>
        <v>1</v>
      </c>
      <c r="AA114" s="17">
        <f t="shared" si="50"/>
        <v>1</v>
      </c>
      <c r="AB114" s="17">
        <f t="shared" si="50"/>
        <v>0.9989072586421979</v>
      </c>
      <c r="AC114" s="17">
        <f t="shared" si="50"/>
        <v>0.997815711368071</v>
      </c>
      <c r="AD114" s="17">
        <f t="shared" si="50"/>
        <v>0.9967253568727942</v>
      </c>
      <c r="AE114" s="17">
        <f t="shared" si="50"/>
        <v>0.9956361938529693</v>
      </c>
      <c r="AF114" s="17">
        <f t="shared" si="50"/>
        <v>0.9945482210066214</v>
      </c>
    </row>
    <row r="115" spans="1:32" ht="11.25">
      <c r="A115" s="44" t="s">
        <v>71</v>
      </c>
      <c r="G115">
        <f t="shared" si="25"/>
        <v>2027</v>
      </c>
      <c r="J115" s="16">
        <f t="shared" si="27"/>
        <v>1</v>
      </c>
      <c r="K115" s="16">
        <f t="shared" si="28"/>
        <v>1</v>
      </c>
      <c r="L115" s="17">
        <f t="shared" si="30"/>
        <v>1</v>
      </c>
      <c r="M115" s="17">
        <f t="shared" si="32"/>
        <v>1</v>
      </c>
      <c r="N115" s="17">
        <f t="shared" si="34"/>
        <v>1</v>
      </c>
      <c r="O115" s="17">
        <f t="shared" si="36"/>
        <v>1</v>
      </c>
      <c r="P115" s="17">
        <f t="shared" si="38"/>
        <v>1</v>
      </c>
      <c r="Q115" s="17">
        <f t="shared" si="40"/>
        <v>1</v>
      </c>
      <c r="R115" s="17">
        <f t="shared" si="46"/>
        <v>1</v>
      </c>
      <c r="S115" s="17">
        <f t="shared" si="47"/>
        <v>1</v>
      </c>
      <c r="T115" s="17">
        <f t="shared" si="48"/>
        <v>1</v>
      </c>
      <c r="U115" s="17">
        <f t="shared" si="49"/>
        <v>1</v>
      </c>
      <c r="V115" s="17">
        <f t="shared" si="50"/>
        <v>1</v>
      </c>
      <c r="W115" s="17">
        <f t="shared" si="50"/>
        <v>1</v>
      </c>
      <c r="X115" s="17">
        <f t="shared" si="50"/>
        <v>1</v>
      </c>
      <c r="Y115" s="17">
        <f t="shared" si="50"/>
        <v>1</v>
      </c>
      <c r="Z115" s="17">
        <f t="shared" si="50"/>
        <v>1</v>
      </c>
      <c r="AA115" s="17">
        <f t="shared" si="50"/>
        <v>1</v>
      </c>
      <c r="AB115" s="17">
        <f t="shared" si="50"/>
        <v>1</v>
      </c>
      <c r="AC115" s="17">
        <f t="shared" si="50"/>
        <v>0.9989072586421979</v>
      </c>
      <c r="AD115" s="17">
        <f t="shared" si="50"/>
        <v>0.997815711368071</v>
      </c>
      <c r="AE115" s="17">
        <f t="shared" si="50"/>
        <v>0.9967253568727942</v>
      </c>
      <c r="AF115" s="17">
        <f t="shared" si="50"/>
        <v>0.9956361938529693</v>
      </c>
    </row>
    <row r="116" spans="1:32" ht="11.25">
      <c r="A116" s="44" t="s">
        <v>71</v>
      </c>
      <c r="G116">
        <f t="shared" si="25"/>
        <v>2028</v>
      </c>
      <c r="J116" s="16">
        <f t="shared" si="27"/>
        <v>1</v>
      </c>
      <c r="K116" s="16">
        <f t="shared" si="28"/>
        <v>1</v>
      </c>
      <c r="L116" s="17">
        <f t="shared" si="30"/>
        <v>1</v>
      </c>
      <c r="M116" s="17">
        <f t="shared" si="32"/>
        <v>1</v>
      </c>
      <c r="N116" s="17">
        <f t="shared" si="34"/>
        <v>1</v>
      </c>
      <c r="O116" s="17">
        <f t="shared" si="36"/>
        <v>1</v>
      </c>
      <c r="P116" s="17">
        <f t="shared" si="38"/>
        <v>1</v>
      </c>
      <c r="Q116" s="17">
        <f t="shared" si="40"/>
        <v>1</v>
      </c>
      <c r="R116" s="17">
        <f t="shared" si="46"/>
        <v>1</v>
      </c>
      <c r="S116" s="17">
        <f t="shared" si="47"/>
        <v>1</v>
      </c>
      <c r="T116" s="17">
        <f t="shared" si="48"/>
        <v>1</v>
      </c>
      <c r="U116" s="17">
        <f t="shared" si="49"/>
        <v>1</v>
      </c>
      <c r="V116" s="17">
        <f t="shared" si="50"/>
        <v>1</v>
      </c>
      <c r="W116" s="17">
        <f t="shared" si="50"/>
        <v>1</v>
      </c>
      <c r="X116" s="17">
        <f t="shared" si="50"/>
        <v>1</v>
      </c>
      <c r="Y116" s="17">
        <f t="shared" si="50"/>
        <v>1</v>
      </c>
      <c r="Z116" s="17">
        <f t="shared" si="50"/>
        <v>1</v>
      </c>
      <c r="AA116" s="17">
        <f t="shared" si="50"/>
        <v>1</v>
      </c>
      <c r="AB116" s="17">
        <f t="shared" si="50"/>
        <v>1</v>
      </c>
      <c r="AC116" s="17">
        <f t="shared" si="50"/>
        <v>1</v>
      </c>
      <c r="AD116" s="17">
        <f t="shared" si="50"/>
        <v>0.9989072586421979</v>
      </c>
      <c r="AE116" s="17">
        <f t="shared" si="50"/>
        <v>0.997815711368071</v>
      </c>
      <c r="AF116" s="17">
        <f t="shared" si="50"/>
        <v>0.9967253568727942</v>
      </c>
    </row>
    <row r="117" spans="1:32" ht="11.25">
      <c r="A117" s="44" t="s">
        <v>71</v>
      </c>
      <c r="G117">
        <f t="shared" si="25"/>
        <v>2029</v>
      </c>
      <c r="J117" s="16">
        <f t="shared" si="27"/>
        <v>1</v>
      </c>
      <c r="K117" s="16">
        <f t="shared" si="28"/>
        <v>1</v>
      </c>
      <c r="L117" s="17">
        <f t="shared" si="30"/>
        <v>1</v>
      </c>
      <c r="M117" s="17">
        <f t="shared" si="32"/>
        <v>1</v>
      </c>
      <c r="N117" s="17">
        <f t="shared" si="34"/>
        <v>1</v>
      </c>
      <c r="O117" s="17">
        <f t="shared" si="36"/>
        <v>1</v>
      </c>
      <c r="P117" s="17">
        <f t="shared" si="38"/>
        <v>1</v>
      </c>
      <c r="Q117" s="17">
        <f t="shared" si="40"/>
        <v>1</v>
      </c>
      <c r="R117" s="17">
        <f t="shared" si="46"/>
        <v>1</v>
      </c>
      <c r="S117" s="17">
        <f t="shared" si="47"/>
        <v>1</v>
      </c>
      <c r="T117" s="17">
        <f t="shared" si="48"/>
        <v>1</v>
      </c>
      <c r="U117" s="17">
        <f t="shared" si="49"/>
        <v>1</v>
      </c>
      <c r="V117" s="17">
        <f t="shared" si="50"/>
        <v>1</v>
      </c>
      <c r="W117" s="17">
        <f t="shared" si="50"/>
        <v>1</v>
      </c>
      <c r="X117" s="17">
        <f t="shared" si="50"/>
        <v>1</v>
      </c>
      <c r="Y117" s="17">
        <f t="shared" si="50"/>
        <v>1</v>
      </c>
      <c r="Z117" s="17">
        <f t="shared" si="50"/>
        <v>1</v>
      </c>
      <c r="AA117" s="17">
        <f t="shared" si="50"/>
        <v>1</v>
      </c>
      <c r="AB117" s="17">
        <f t="shared" si="50"/>
        <v>1</v>
      </c>
      <c r="AC117" s="17">
        <f t="shared" si="50"/>
        <v>1</v>
      </c>
      <c r="AD117" s="17">
        <f t="shared" si="50"/>
        <v>1</v>
      </c>
      <c r="AE117" s="17">
        <f t="shared" si="50"/>
        <v>0.9989072586421979</v>
      </c>
      <c r="AF117" s="17">
        <f t="shared" si="50"/>
        <v>0.997815711368071</v>
      </c>
    </row>
    <row r="118" spans="1:32" ht="11.25">
      <c r="A118" s="44" t="s">
        <v>71</v>
      </c>
      <c r="G118">
        <f t="shared" si="25"/>
        <v>2030</v>
      </c>
      <c r="J118" s="16">
        <f t="shared" si="27"/>
        <v>1</v>
      </c>
      <c r="K118" s="16">
        <f t="shared" si="28"/>
        <v>1</v>
      </c>
      <c r="L118" s="17">
        <f t="shared" si="30"/>
        <v>1</v>
      </c>
      <c r="M118" s="17">
        <f t="shared" si="32"/>
        <v>1</v>
      </c>
      <c r="N118" s="17">
        <f t="shared" si="34"/>
        <v>1</v>
      </c>
      <c r="O118" s="17">
        <f t="shared" si="36"/>
        <v>1</v>
      </c>
      <c r="P118" s="17">
        <f t="shared" si="38"/>
        <v>1</v>
      </c>
      <c r="Q118" s="17">
        <f t="shared" si="40"/>
        <v>1</v>
      </c>
      <c r="R118" s="17">
        <f t="shared" si="46"/>
        <v>1</v>
      </c>
      <c r="S118" s="17">
        <f t="shared" si="47"/>
        <v>1</v>
      </c>
      <c r="T118" s="17">
        <f t="shared" si="48"/>
        <v>1</v>
      </c>
      <c r="U118" s="17">
        <f t="shared" si="49"/>
        <v>1</v>
      </c>
      <c r="V118" s="17">
        <f t="shared" si="50"/>
        <v>1</v>
      </c>
      <c r="W118" s="17">
        <f t="shared" si="50"/>
        <v>1</v>
      </c>
      <c r="X118" s="17">
        <f t="shared" si="50"/>
        <v>1</v>
      </c>
      <c r="Y118" s="17">
        <f t="shared" si="50"/>
        <v>1</v>
      </c>
      <c r="Z118" s="17">
        <f t="shared" si="50"/>
        <v>1</v>
      </c>
      <c r="AA118" s="17">
        <f t="shared" si="50"/>
        <v>1</v>
      </c>
      <c r="AB118" s="17">
        <f t="shared" si="50"/>
        <v>1</v>
      </c>
      <c r="AC118" s="17">
        <f t="shared" si="50"/>
        <v>1</v>
      </c>
      <c r="AD118" s="17">
        <f t="shared" si="50"/>
        <v>1</v>
      </c>
      <c r="AE118" s="17">
        <f t="shared" si="50"/>
        <v>1</v>
      </c>
      <c r="AF118" s="17">
        <f t="shared" si="50"/>
        <v>0.9989072586421979</v>
      </c>
    </row>
    <row r="120" spans="1:32" ht="11.25">
      <c r="A120" t="s">
        <v>84</v>
      </c>
      <c r="J120" s="42">
        <f aca="true" t="shared" si="51" ref="J120:AF120">1-J96*J97*J98*J99*J100*J101*J102*J103*J104*J105*J106*J107*J108</f>
        <v>0.001653175633407944</v>
      </c>
      <c r="K120" s="42">
        <f t="shared" si="51"/>
        <v>0.004884162272736581</v>
      </c>
      <c r="L120" s="42">
        <f t="shared" si="51"/>
        <v>0.00961595096146639</v>
      </c>
      <c r="M120" s="42">
        <f t="shared" si="51"/>
        <v>0.015770303424698873</v>
      </c>
      <c r="N120" s="42">
        <f t="shared" si="51"/>
        <v>0.02326815246578917</v>
      </c>
      <c r="O120" s="42">
        <f t="shared" si="51"/>
        <v>0.03202998468052065</v>
      </c>
      <c r="P120" s="42">
        <f t="shared" si="51"/>
        <v>0.04197620320330964</v>
      </c>
      <c r="Q120" s="42">
        <f t="shared" si="51"/>
        <v>0.053027468831116864</v>
      </c>
      <c r="R120" s="42">
        <f t="shared" si="51"/>
        <v>0.06510501838529603</v>
      </c>
      <c r="S120" s="42">
        <f t="shared" si="51"/>
        <v>0.078130959594926</v>
      </c>
      <c r="T120" s="42">
        <f t="shared" si="51"/>
        <v>0.09052502025998688</v>
      </c>
      <c r="U120" s="42">
        <f t="shared" si="51"/>
        <v>0.10233807825792829</v>
      </c>
      <c r="V120" s="42">
        <f t="shared" si="51"/>
        <v>0.11361536745564649</v>
      </c>
      <c r="W120" s="42">
        <f t="shared" si="51"/>
        <v>0.12346592441201154</v>
      </c>
      <c r="X120" s="42">
        <f t="shared" si="51"/>
        <v>0.13198079567427046</v>
      </c>
      <c r="Y120" s="42">
        <f t="shared" si="51"/>
        <v>0.13923977254529885</v>
      </c>
      <c r="Z120" s="42">
        <f t="shared" si="51"/>
        <v>0.14531277443072688</v>
      </c>
      <c r="AA120" s="42">
        <f t="shared" si="51"/>
        <v>0.15026101849980333</v>
      </c>
      <c r="AB120" s="42">
        <f t="shared" si="51"/>
        <v>0.15413801234790336</v>
      </c>
      <c r="AC120" s="42">
        <f t="shared" si="51"/>
        <v>0.15699039921660785</v>
      </c>
      <c r="AD120" s="42">
        <f t="shared" si="51"/>
        <v>0.15885867972492307</v>
      </c>
      <c r="AE120" s="42">
        <f t="shared" si="51"/>
        <v>0.15977782963334386</v>
      </c>
      <c r="AF120" s="42">
        <f t="shared" si="51"/>
        <v>0.15977782963334386</v>
      </c>
    </row>
    <row r="122" spans="1:3" ht="12">
      <c r="A122" s="9" t="s">
        <v>88</v>
      </c>
      <c r="C122" t="s">
        <v>18</v>
      </c>
    </row>
    <row r="124" spans="1:7" ht="11.25">
      <c r="A124" s="138" t="s">
        <v>19</v>
      </c>
      <c r="B124" s="138"/>
      <c r="C124" s="138"/>
      <c r="D124" s="138"/>
      <c r="E124" s="138"/>
      <c r="F124" s="138"/>
      <c r="G124" s="138"/>
    </row>
    <row r="125" spans="1:7" ht="11.25">
      <c r="A125" s="138"/>
      <c r="B125" s="138"/>
      <c r="C125" s="138"/>
      <c r="D125" s="138"/>
      <c r="E125" s="138"/>
      <c r="F125" s="138"/>
      <c r="G125" s="138"/>
    </row>
    <row r="127" spans="1:6" ht="11.25">
      <c r="A127" s="14" t="s">
        <v>91</v>
      </c>
      <c r="E127" s="13"/>
      <c r="F127" s="13">
        <v>2020</v>
      </c>
    </row>
    <row r="129" spans="1:6" ht="11.25">
      <c r="A129" t="s">
        <v>101</v>
      </c>
      <c r="F129" s="52">
        <f>V37</f>
        <v>164319.70676966012</v>
      </c>
    </row>
    <row r="130" spans="1:6" ht="11.25">
      <c r="A130" t="s">
        <v>102</v>
      </c>
      <c r="F130" s="52">
        <f>V53</f>
        <v>145650.4629048211</v>
      </c>
    </row>
    <row r="131" spans="1:9" s="14" customFormat="1" ht="9.75">
      <c r="A131" s="14" t="s">
        <v>164</v>
      </c>
      <c r="F131" s="53">
        <f>F130/F129</f>
        <v>0.8863846325443535</v>
      </c>
      <c r="I131" s="81"/>
    </row>
    <row r="133" spans="1:6" ht="11.25">
      <c r="A133" t="s">
        <v>131</v>
      </c>
      <c r="F133" s="24">
        <f>G49</f>
        <v>19.627876190476186</v>
      </c>
    </row>
    <row r="134" spans="1:6" ht="11.25">
      <c r="A134" t="s">
        <v>132</v>
      </c>
      <c r="F134" s="24">
        <f>V49</f>
        <v>18.949321187293002</v>
      </c>
    </row>
    <row r="135" spans="1:9" s="14" customFormat="1" ht="9.75">
      <c r="A135" s="14" t="s">
        <v>164</v>
      </c>
      <c r="F135" s="53">
        <f>F134/F133</f>
        <v>0.965429015518631</v>
      </c>
      <c r="I135" s="81"/>
    </row>
    <row r="136" ht="11.25">
      <c r="F136" s="24"/>
    </row>
    <row r="137" spans="1:6" ht="11.25">
      <c r="A137" s="3" t="s">
        <v>96</v>
      </c>
      <c r="F137" s="24"/>
    </row>
    <row r="138" spans="1:6" ht="11.25">
      <c r="A138" t="s">
        <v>93</v>
      </c>
      <c r="F138" s="24">
        <f>V40</f>
        <v>1462.6969887211974</v>
      </c>
    </row>
    <row r="139" spans="1:6" ht="11.25">
      <c r="A139" t="s">
        <v>95</v>
      </c>
      <c r="F139" s="24">
        <f>V54</f>
        <v>1251.6904320459682</v>
      </c>
    </row>
    <row r="140" spans="1:6" ht="11.25">
      <c r="A140" s="14" t="s">
        <v>164</v>
      </c>
      <c r="B140" s="14"/>
      <c r="C140" s="14"/>
      <c r="D140" s="14"/>
      <c r="E140" s="14"/>
      <c r="F140" s="105">
        <f>F139/F138</f>
        <v>0.8557414431681387</v>
      </c>
    </row>
    <row r="141" ht="11.25">
      <c r="F141" s="24"/>
    </row>
    <row r="142" spans="1:6" ht="11.25">
      <c r="A142" s="14" t="s">
        <v>163</v>
      </c>
      <c r="B142" s="14"/>
      <c r="C142" s="14"/>
      <c r="D142" s="14"/>
      <c r="E142" s="14"/>
      <c r="F142" s="105">
        <f>F135*F131</f>
        <v>0.8557414431681387</v>
      </c>
    </row>
    <row r="143" ht="11.25">
      <c r="F143" s="24"/>
    </row>
    <row r="144" spans="1:6" ht="11.25">
      <c r="A144" t="s">
        <v>97</v>
      </c>
      <c r="F144" s="24"/>
    </row>
    <row r="145" spans="1:6" ht="11.25">
      <c r="A145" t="s">
        <v>98</v>
      </c>
      <c r="F145" s="7">
        <f>(1-F131)/(1-F135)</f>
        <v>3.2864371425950045</v>
      </c>
    </row>
    <row r="147" spans="1:6" ht="12">
      <c r="A147" s="54" t="s">
        <v>99</v>
      </c>
      <c r="B147" s="55"/>
      <c r="C147" s="55"/>
      <c r="D147" s="55"/>
      <c r="E147" s="55"/>
      <c r="F147" s="56">
        <f>F145/(1+F145)</f>
        <v>0.7667060155711041</v>
      </c>
    </row>
    <row r="148" spans="1:6" ht="12">
      <c r="A148" s="57" t="s">
        <v>100</v>
      </c>
      <c r="B148" s="58"/>
      <c r="C148" s="58"/>
      <c r="D148" s="58"/>
      <c r="E148" s="58"/>
      <c r="F148" s="59">
        <f>1-F147</f>
        <v>0.23329398442889593</v>
      </c>
    </row>
  </sheetData>
  <mergeCells count="3">
    <mergeCell ref="A3:E5"/>
    <mergeCell ref="L67:V70"/>
    <mergeCell ref="A124:G125"/>
  </mergeCells>
  <printOptions gridLines="1"/>
  <pageMargins left="0.66" right="0.5" top="0.52" bottom="0.75"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G148"/>
  <sheetViews>
    <sheetView workbookViewId="0" topLeftCell="A1">
      <selection activeCell="A21" sqref="A21"/>
    </sheetView>
  </sheetViews>
  <sheetFormatPr defaultColWidth="9.140625" defaultRowHeight="12"/>
  <cols>
    <col min="7" max="7" width="12.140625" style="0" customWidth="1"/>
    <col min="9" max="9" width="8.8515625" style="33" customWidth="1"/>
    <col min="10" max="10" width="8.8515625" style="0" customWidth="1"/>
    <col min="16" max="32" width="9.421875" style="0" customWidth="1"/>
  </cols>
  <sheetData>
    <row r="1" spans="1:3" ht="12.75">
      <c r="A1" s="1" t="s">
        <v>231</v>
      </c>
      <c r="C1" t="s">
        <v>174</v>
      </c>
    </row>
    <row r="2" ht="12.75">
      <c r="A2" s="1"/>
    </row>
    <row r="3" spans="1:10" ht="11.25">
      <c r="A3" s="138" t="s">
        <v>257</v>
      </c>
      <c r="B3" s="138"/>
      <c r="C3" s="138"/>
      <c r="D3" s="138"/>
      <c r="E3" s="138"/>
      <c r="G3" s="82" t="s">
        <v>43</v>
      </c>
      <c r="I3" s="82" t="s">
        <v>146</v>
      </c>
      <c r="J3" s="88" t="s">
        <v>149</v>
      </c>
    </row>
    <row r="4" spans="1:10" ht="11.25">
      <c r="A4" s="138"/>
      <c r="B4" s="138"/>
      <c r="C4" s="138"/>
      <c r="D4" s="138"/>
      <c r="E4" s="138"/>
      <c r="G4" s="83" t="s">
        <v>108</v>
      </c>
      <c r="I4" s="83" t="s">
        <v>147</v>
      </c>
      <c r="J4" s="68" t="s">
        <v>150</v>
      </c>
    </row>
    <row r="5" spans="1:10" ht="11.25">
      <c r="A5" s="138"/>
      <c r="B5" s="138"/>
      <c r="C5" s="138"/>
      <c r="D5" s="138"/>
      <c r="E5" s="138"/>
      <c r="G5" s="83" t="s">
        <v>109</v>
      </c>
      <c r="I5" s="83" t="s">
        <v>148</v>
      </c>
      <c r="J5" s="68" t="s">
        <v>151</v>
      </c>
    </row>
    <row r="6" spans="1:10" ht="12.75">
      <c r="A6" s="1"/>
      <c r="G6" s="83" t="s">
        <v>159</v>
      </c>
      <c r="I6" s="84" t="s">
        <v>158</v>
      </c>
      <c r="J6" s="89" t="s">
        <v>152</v>
      </c>
    </row>
    <row r="7" spans="7:32" ht="11.25">
      <c r="G7" s="98" t="s">
        <v>160</v>
      </c>
      <c r="H7" s="13"/>
      <c r="I7" s="95">
        <v>2007</v>
      </c>
      <c r="J7" s="96">
        <f>Summary!J71</f>
        <v>2008</v>
      </c>
      <c r="K7" s="13">
        <f aca="true" t="shared" si="0" ref="K7:AF7">J7+1</f>
        <v>2009</v>
      </c>
      <c r="L7" s="13">
        <f t="shared" si="0"/>
        <v>2010</v>
      </c>
      <c r="M7" s="13">
        <f t="shared" si="0"/>
        <v>2011</v>
      </c>
      <c r="N7" s="13">
        <f t="shared" si="0"/>
        <v>2012</v>
      </c>
      <c r="O7" s="13">
        <f t="shared" si="0"/>
        <v>2013</v>
      </c>
      <c r="P7" s="13">
        <f t="shared" si="0"/>
        <v>2014</v>
      </c>
      <c r="Q7" s="13">
        <f t="shared" si="0"/>
        <v>2015</v>
      </c>
      <c r="R7" s="13">
        <f t="shared" si="0"/>
        <v>2016</v>
      </c>
      <c r="S7" s="13">
        <f t="shared" si="0"/>
        <v>2017</v>
      </c>
      <c r="T7" s="13">
        <f t="shared" si="0"/>
        <v>2018</v>
      </c>
      <c r="U7" s="13">
        <f t="shared" si="0"/>
        <v>2019</v>
      </c>
      <c r="V7" s="13">
        <f t="shared" si="0"/>
        <v>2020</v>
      </c>
      <c r="W7" s="13">
        <f t="shared" si="0"/>
        <v>2021</v>
      </c>
      <c r="X7" s="13">
        <f t="shared" si="0"/>
        <v>2022</v>
      </c>
      <c r="Y7" s="13">
        <f t="shared" si="0"/>
        <v>2023</v>
      </c>
      <c r="Z7" s="13">
        <f t="shared" si="0"/>
        <v>2024</v>
      </c>
      <c r="AA7" s="13">
        <f t="shared" si="0"/>
        <v>2025</v>
      </c>
      <c r="AB7" s="13">
        <f t="shared" si="0"/>
        <v>2026</v>
      </c>
      <c r="AC7" s="13">
        <f t="shared" si="0"/>
        <v>2027</v>
      </c>
      <c r="AD7" s="13">
        <f t="shared" si="0"/>
        <v>2028</v>
      </c>
      <c r="AE7" s="13">
        <f t="shared" si="0"/>
        <v>2029</v>
      </c>
      <c r="AF7" s="13">
        <f t="shared" si="0"/>
        <v>2030</v>
      </c>
    </row>
    <row r="8" ht="12">
      <c r="A8" s="99" t="s">
        <v>161</v>
      </c>
    </row>
    <row r="9" ht="12">
      <c r="A9" s="109" t="s">
        <v>162</v>
      </c>
    </row>
    <row r="11" spans="1:7" ht="11.25">
      <c r="A11" t="s">
        <v>51</v>
      </c>
      <c r="G11" s="94">
        <f>Summary!H59</f>
        <v>10</v>
      </c>
    </row>
    <row r="12" spans="1:32" ht="11.25">
      <c r="A12" t="s">
        <v>145</v>
      </c>
      <c r="G12" s="2"/>
      <c r="I12" s="70" t="s">
        <v>157</v>
      </c>
      <c r="J12" s="63" t="str">
        <f>IF(J$7&gt;=$I$7,"YES","NO")</f>
        <v>YES</v>
      </c>
      <c r="K12" s="63" t="str">
        <f aca="true" t="shared" si="1" ref="K12:AF12">IF(K$7&gt;=$I$7,"YES","NO")</f>
        <v>YES</v>
      </c>
      <c r="L12" s="63" t="str">
        <f t="shared" si="1"/>
        <v>YES</v>
      </c>
      <c r="M12" s="63" t="str">
        <f t="shared" si="1"/>
        <v>YES</v>
      </c>
      <c r="N12" s="63" t="str">
        <f t="shared" si="1"/>
        <v>YES</v>
      </c>
      <c r="O12" s="63" t="str">
        <f t="shared" si="1"/>
        <v>YES</v>
      </c>
      <c r="P12" s="63" t="str">
        <f t="shared" si="1"/>
        <v>YES</v>
      </c>
      <c r="Q12" s="63" t="str">
        <f t="shared" si="1"/>
        <v>YES</v>
      </c>
      <c r="R12" s="63" t="str">
        <f t="shared" si="1"/>
        <v>YES</v>
      </c>
      <c r="S12" s="63" t="str">
        <f t="shared" si="1"/>
        <v>YES</v>
      </c>
      <c r="T12" s="63" t="str">
        <f t="shared" si="1"/>
        <v>YES</v>
      </c>
      <c r="U12" s="63" t="str">
        <f t="shared" si="1"/>
        <v>YES</v>
      </c>
      <c r="V12" s="63" t="str">
        <f t="shared" si="1"/>
        <v>YES</v>
      </c>
      <c r="W12" s="63" t="str">
        <f t="shared" si="1"/>
        <v>YES</v>
      </c>
      <c r="X12" s="63" t="str">
        <f t="shared" si="1"/>
        <v>YES</v>
      </c>
      <c r="Y12" s="63" t="str">
        <f t="shared" si="1"/>
        <v>YES</v>
      </c>
      <c r="Z12" s="63" t="str">
        <f t="shared" si="1"/>
        <v>YES</v>
      </c>
      <c r="AA12" s="63" t="str">
        <f t="shared" si="1"/>
        <v>YES</v>
      </c>
      <c r="AB12" s="63" t="str">
        <f t="shared" si="1"/>
        <v>YES</v>
      </c>
      <c r="AC12" s="63" t="str">
        <f t="shared" si="1"/>
        <v>YES</v>
      </c>
      <c r="AD12" s="63" t="str">
        <f t="shared" si="1"/>
        <v>YES</v>
      </c>
      <c r="AE12" s="63" t="str">
        <f t="shared" si="1"/>
        <v>YES</v>
      </c>
      <c r="AF12" s="63" t="str">
        <f t="shared" si="1"/>
        <v>YES</v>
      </c>
    </row>
    <row r="13" spans="1:32" ht="11.25">
      <c r="A13" t="s">
        <v>154</v>
      </c>
      <c r="G13" s="2"/>
      <c r="I13" s="70" t="s">
        <v>157</v>
      </c>
      <c r="J13" s="63" t="str">
        <f>IF(J$7&gt;Summary!$H68,"YES","NO")</f>
        <v>NO</v>
      </c>
      <c r="K13" s="63" t="str">
        <f>IF(K$7&gt;Summary!$H68,"YES","NO")</f>
        <v>NO</v>
      </c>
      <c r="L13" s="63" t="str">
        <f>IF(L$7&gt;Summary!$H68,"YES","NO")</f>
        <v>NO</v>
      </c>
      <c r="M13" s="63" t="str">
        <f>IF(M$7&gt;Summary!$H68,"YES","NO")</f>
        <v>NO</v>
      </c>
      <c r="N13" s="63" t="str">
        <f>IF(N$7&gt;Summary!$H68,"YES","NO")</f>
        <v>NO</v>
      </c>
      <c r="O13" s="63" t="str">
        <f>IF(O$7&gt;Summary!$H68,"YES","NO")</f>
        <v>NO</v>
      </c>
      <c r="P13" s="63" t="str">
        <f>IF(P$7&gt;Summary!$H68,"YES","NO")</f>
        <v>NO</v>
      </c>
      <c r="Q13" s="63" t="str">
        <f>IF(Q$7&gt;Summary!$H68,"YES","NO")</f>
        <v>NO</v>
      </c>
      <c r="R13" s="63" t="str">
        <f>IF(R$7&gt;Summary!$H68,"YES","NO")</f>
        <v>NO</v>
      </c>
      <c r="S13" s="63" t="str">
        <f>IF(S$7&gt;Summary!$H68,"YES","NO")</f>
        <v>NO</v>
      </c>
      <c r="T13" s="63" t="str">
        <f>IF(T$7&gt;Summary!$H68,"YES","NO")</f>
        <v>NO</v>
      </c>
      <c r="U13" s="63" t="str">
        <f>IF(U$7&gt;Summary!$H68,"YES","NO")</f>
        <v>NO</v>
      </c>
      <c r="V13" s="63" t="str">
        <f>IF(V$7&gt;Summary!$H68,"YES","NO")</f>
        <v>NO</v>
      </c>
      <c r="W13" s="63" t="str">
        <f>IF(W$7&gt;Summary!$H68,"YES","NO")</f>
        <v>NO</v>
      </c>
      <c r="X13" s="63" t="str">
        <f>IF(X$7&gt;Summary!$H68,"YES","NO")</f>
        <v>NO</v>
      </c>
      <c r="Y13" s="63" t="str">
        <f>IF(Y$7&gt;Summary!$H68,"YES","NO")</f>
        <v>NO</v>
      </c>
      <c r="Z13" s="63" t="str">
        <f>IF(Z$7&gt;Summary!$H68,"YES","NO")</f>
        <v>NO</v>
      </c>
      <c r="AA13" s="63" t="str">
        <f>IF(AA$7&gt;Summary!$H68,"YES","NO")</f>
        <v>NO</v>
      </c>
      <c r="AB13" s="63" t="str">
        <f>IF(AB$7&gt;Summary!$H68,"YES","NO")</f>
        <v>NO</v>
      </c>
      <c r="AC13" s="63" t="str">
        <f>IF(AC$7&gt;Summary!$H68,"YES","NO")</f>
        <v>NO</v>
      </c>
      <c r="AD13" s="63" t="str">
        <f>IF(AD$7&gt;Summary!$H68,"YES","NO")</f>
        <v>YES</v>
      </c>
      <c r="AE13" s="63" t="str">
        <f>IF(AE$7&gt;Summary!$H68,"YES","NO")</f>
        <v>YES</v>
      </c>
      <c r="AF13" s="63" t="str">
        <f>IF(AF$7&gt;Summary!$H68,"YES","NO")</f>
        <v>YES</v>
      </c>
    </row>
    <row r="14" spans="1:32" ht="11.25">
      <c r="A14" t="s">
        <v>153</v>
      </c>
      <c r="I14" s="33">
        <f>IF(I12="NO",0,(IF(I12="YES",H14+1,3)))</f>
        <v>0</v>
      </c>
      <c r="J14">
        <f aca="true" t="shared" si="2" ref="J14:AF14">IF(J12="NO",0,(IF(AND(J12="YES",J13="NO"),I14+1,I14)))</f>
        <v>1</v>
      </c>
      <c r="K14">
        <f t="shared" si="2"/>
        <v>2</v>
      </c>
      <c r="L14">
        <f t="shared" si="2"/>
        <v>3</v>
      </c>
      <c r="M14">
        <f t="shared" si="2"/>
        <v>4</v>
      </c>
      <c r="N14">
        <f t="shared" si="2"/>
        <v>5</v>
      </c>
      <c r="O14">
        <f t="shared" si="2"/>
        <v>6</v>
      </c>
      <c r="P14">
        <f t="shared" si="2"/>
        <v>7</v>
      </c>
      <c r="Q14">
        <f t="shared" si="2"/>
        <v>8</v>
      </c>
      <c r="R14">
        <f t="shared" si="2"/>
        <v>9</v>
      </c>
      <c r="S14">
        <f t="shared" si="2"/>
        <v>10</v>
      </c>
      <c r="T14">
        <f t="shared" si="2"/>
        <v>11</v>
      </c>
      <c r="U14">
        <f t="shared" si="2"/>
        <v>12</v>
      </c>
      <c r="V14">
        <f t="shared" si="2"/>
        <v>13</v>
      </c>
      <c r="W14">
        <f t="shared" si="2"/>
        <v>14</v>
      </c>
      <c r="X14">
        <f t="shared" si="2"/>
        <v>15</v>
      </c>
      <c r="Y14">
        <f t="shared" si="2"/>
        <v>16</v>
      </c>
      <c r="Z14">
        <f t="shared" si="2"/>
        <v>17</v>
      </c>
      <c r="AA14">
        <f t="shared" si="2"/>
        <v>18</v>
      </c>
      <c r="AB14">
        <f t="shared" si="2"/>
        <v>19</v>
      </c>
      <c r="AC14">
        <f t="shared" si="2"/>
        <v>20</v>
      </c>
      <c r="AD14">
        <f t="shared" si="2"/>
        <v>20</v>
      </c>
      <c r="AE14">
        <f t="shared" si="2"/>
        <v>20</v>
      </c>
      <c r="AF14">
        <f t="shared" si="2"/>
        <v>20</v>
      </c>
    </row>
    <row r="15" spans="1:32" s="114" customFormat="1" ht="11.25">
      <c r="A15" s="114" t="s">
        <v>52</v>
      </c>
      <c r="G15" s="122"/>
      <c r="I15" s="116">
        <f aca="true" t="shared" si="3" ref="I15:AF15">I14*$G$11</f>
        <v>0</v>
      </c>
      <c r="J15" s="116">
        <f t="shared" si="3"/>
        <v>10</v>
      </c>
      <c r="K15" s="116">
        <f t="shared" si="3"/>
        <v>20</v>
      </c>
      <c r="L15" s="116">
        <f t="shared" si="3"/>
        <v>30</v>
      </c>
      <c r="M15" s="116">
        <f t="shared" si="3"/>
        <v>40</v>
      </c>
      <c r="N15" s="116">
        <f t="shared" si="3"/>
        <v>50</v>
      </c>
      <c r="O15" s="116">
        <f t="shared" si="3"/>
        <v>60</v>
      </c>
      <c r="P15" s="116">
        <f t="shared" si="3"/>
        <v>70</v>
      </c>
      <c r="Q15" s="116">
        <f t="shared" si="3"/>
        <v>80</v>
      </c>
      <c r="R15" s="116">
        <f t="shared" si="3"/>
        <v>90</v>
      </c>
      <c r="S15" s="116">
        <f t="shared" si="3"/>
        <v>100</v>
      </c>
      <c r="T15" s="116">
        <f t="shared" si="3"/>
        <v>110</v>
      </c>
      <c r="U15" s="116">
        <f t="shared" si="3"/>
        <v>120</v>
      </c>
      <c r="V15" s="116">
        <f t="shared" si="3"/>
        <v>130</v>
      </c>
      <c r="W15" s="116">
        <f t="shared" si="3"/>
        <v>140</v>
      </c>
      <c r="X15" s="116">
        <f t="shared" si="3"/>
        <v>150</v>
      </c>
      <c r="Y15" s="116">
        <f t="shared" si="3"/>
        <v>160</v>
      </c>
      <c r="Z15" s="116">
        <f t="shared" si="3"/>
        <v>170</v>
      </c>
      <c r="AA15" s="116">
        <f t="shared" si="3"/>
        <v>180</v>
      </c>
      <c r="AB15" s="116">
        <f t="shared" si="3"/>
        <v>190</v>
      </c>
      <c r="AC15" s="116">
        <f t="shared" si="3"/>
        <v>200</v>
      </c>
      <c r="AD15" s="116">
        <f t="shared" si="3"/>
        <v>200</v>
      </c>
      <c r="AE15" s="116">
        <f t="shared" si="3"/>
        <v>200</v>
      </c>
      <c r="AF15" s="116">
        <f t="shared" si="3"/>
        <v>200</v>
      </c>
    </row>
    <row r="16" spans="1:8" ht="11.25">
      <c r="A16" t="s">
        <v>53</v>
      </c>
      <c r="G16" s="23">
        <f>44/12</f>
        <v>3.6666666666666665</v>
      </c>
      <c r="H16" s="39"/>
    </row>
    <row r="17" spans="1:7" ht="11.25">
      <c r="A17" t="s">
        <v>44</v>
      </c>
      <c r="G17" s="20">
        <v>2205</v>
      </c>
    </row>
    <row r="19" spans="1:7" ht="11.25">
      <c r="A19" t="s">
        <v>258</v>
      </c>
      <c r="G19">
        <v>19.71</v>
      </c>
    </row>
    <row r="20" ht="11.25">
      <c r="A20" s="34" t="s">
        <v>259</v>
      </c>
    </row>
    <row r="21" spans="1:7" ht="11.25">
      <c r="A21" t="s">
        <v>261</v>
      </c>
      <c r="G21">
        <v>5.67</v>
      </c>
    </row>
    <row r="22" ht="11.25">
      <c r="A22" s="34" t="s">
        <v>260</v>
      </c>
    </row>
    <row r="23" spans="1:7" ht="11.25">
      <c r="A23" t="s">
        <v>62</v>
      </c>
      <c r="G23" s="25">
        <f>G21*1000000/42</f>
        <v>135000</v>
      </c>
    </row>
    <row r="24" spans="1:7" ht="12">
      <c r="A24" s="9" t="s">
        <v>262</v>
      </c>
      <c r="G24" s="35">
        <f>(G19*G17*1000000)/(1000000000*1000000/G23)</f>
        <v>5.86717425</v>
      </c>
    </row>
    <row r="25" spans="1:32" ht="12">
      <c r="A25" s="9" t="s">
        <v>263</v>
      </c>
      <c r="G25" s="23">
        <f>G24*G16</f>
        <v>21.512972249999997</v>
      </c>
      <c r="H25" s="35"/>
      <c r="J25" s="24"/>
      <c r="K25" s="7"/>
      <c r="L25" s="7"/>
      <c r="M25" s="7"/>
      <c r="N25" s="7"/>
      <c r="O25" s="7"/>
      <c r="P25" s="7"/>
      <c r="Q25" s="7"/>
      <c r="R25" s="7"/>
      <c r="S25" s="7"/>
      <c r="T25" s="7"/>
      <c r="U25" s="7"/>
      <c r="V25" s="7"/>
      <c r="W25" s="7"/>
      <c r="X25" s="7"/>
      <c r="Y25" s="7"/>
      <c r="Z25" s="7"/>
      <c r="AA25" s="7"/>
      <c r="AB25" s="7"/>
      <c r="AC25" s="7"/>
      <c r="AD25" s="7"/>
      <c r="AE25" s="7"/>
      <c r="AF25" s="7"/>
    </row>
    <row r="26" spans="1:32" ht="12">
      <c r="A26" s="9"/>
      <c r="G26" s="23"/>
      <c r="H26" s="35"/>
      <c r="J26" s="24"/>
      <c r="K26" s="7"/>
      <c r="L26" s="7"/>
      <c r="M26" s="7"/>
      <c r="N26" s="7"/>
      <c r="O26" s="7"/>
      <c r="P26" s="7"/>
      <c r="Q26" s="7"/>
      <c r="R26" s="7"/>
      <c r="S26" s="7"/>
      <c r="T26" s="7"/>
      <c r="U26" s="7"/>
      <c r="V26" s="7"/>
      <c r="W26" s="7"/>
      <c r="X26" s="7"/>
      <c r="Y26" s="7"/>
      <c r="Z26" s="7"/>
      <c r="AA26" s="7"/>
      <c r="AB26" s="7"/>
      <c r="AC26" s="7"/>
      <c r="AD26" s="7"/>
      <c r="AE26" s="7"/>
      <c r="AF26" s="7"/>
    </row>
    <row r="27" spans="1:10" ht="11.25">
      <c r="A27" s="99" t="s">
        <v>264</v>
      </c>
      <c r="H27" s="99">
        <f>Summary!H65</f>
        <v>10</v>
      </c>
      <c r="I27" s="99" t="s">
        <v>144</v>
      </c>
      <c r="J27" s="129"/>
    </row>
    <row r="28" spans="1:32" ht="12">
      <c r="A28" s="9"/>
      <c r="G28" s="23"/>
      <c r="H28" s="35"/>
      <c r="J28" s="24"/>
      <c r="K28" s="7"/>
      <c r="L28" s="7"/>
      <c r="M28" s="7"/>
      <c r="N28" s="7"/>
      <c r="O28" s="7"/>
      <c r="P28" s="7"/>
      <c r="Q28" s="7"/>
      <c r="R28" s="7"/>
      <c r="S28" s="7"/>
      <c r="T28" s="7"/>
      <c r="U28" s="7"/>
      <c r="V28" s="7"/>
      <c r="W28" s="7"/>
      <c r="X28" s="7"/>
      <c r="Y28" s="7"/>
      <c r="Z28" s="7"/>
      <c r="AA28" s="7"/>
      <c r="AB28" s="7"/>
      <c r="AC28" s="7"/>
      <c r="AD28" s="7"/>
      <c r="AE28" s="7"/>
      <c r="AF28" s="7"/>
    </row>
    <row r="29" spans="1:32" ht="12">
      <c r="A29" s="9"/>
      <c r="G29" s="23"/>
      <c r="H29" s="35"/>
      <c r="L29" s="81"/>
      <c r="M29" s="24"/>
      <c r="N29" s="7"/>
      <c r="O29" s="7"/>
      <c r="P29" s="7"/>
      <c r="Q29" s="7"/>
      <c r="R29" s="7"/>
      <c r="S29" s="7"/>
      <c r="T29" s="7"/>
      <c r="U29" s="7"/>
      <c r="V29" s="7"/>
      <c r="W29" s="7"/>
      <c r="X29" s="7"/>
      <c r="Y29" s="7"/>
      <c r="Z29" s="7"/>
      <c r="AA29" s="7"/>
      <c r="AB29" s="7"/>
      <c r="AC29" s="7"/>
      <c r="AD29" s="7"/>
      <c r="AE29" s="7"/>
      <c r="AF29" s="7"/>
    </row>
    <row r="30" spans="1:12" ht="11.25">
      <c r="A30" t="s">
        <v>265</v>
      </c>
      <c r="G30" s="125">
        <v>1623.629</v>
      </c>
      <c r="L30" s="33"/>
    </row>
    <row r="31" spans="1:18" ht="11.25">
      <c r="A31" s="3" t="s">
        <v>193</v>
      </c>
      <c r="L31" s="33"/>
      <c r="R31" s="4"/>
    </row>
    <row r="32" spans="1:18" ht="11.25">
      <c r="A32" t="s">
        <v>266</v>
      </c>
      <c r="G32" s="25">
        <f>G30*42*365/1000</f>
        <v>24890.232569999996</v>
      </c>
      <c r="L32" s="33"/>
      <c r="R32" s="6"/>
    </row>
    <row r="33" ht="11.25">
      <c r="I33" s="79"/>
    </row>
    <row r="34" spans="1:7" ht="11.25">
      <c r="A34" s="101" t="s">
        <v>42</v>
      </c>
      <c r="G34" s="101">
        <v>0.03</v>
      </c>
    </row>
    <row r="35" spans="1:7" ht="11.25">
      <c r="A35" s="3" t="s">
        <v>267</v>
      </c>
      <c r="G35" s="5"/>
    </row>
    <row r="37" spans="1:32" ht="11.25">
      <c r="A37" t="s">
        <v>281</v>
      </c>
      <c r="I37" s="72">
        <f>G32*(1+G34)</f>
        <v>25636.939547099995</v>
      </c>
      <c r="J37" s="25">
        <f>G32*(1+G34)^3</f>
        <v>27198.229165518387</v>
      </c>
      <c r="K37" s="25">
        <f>J37*(1+$G$34)</f>
        <v>28014.17604048394</v>
      </c>
      <c r="L37" s="25">
        <f aca="true" t="shared" si="4" ref="L37:AF37">K37*(1+$G$34)</f>
        <v>28854.60132169846</v>
      </c>
      <c r="M37" s="25">
        <f t="shared" si="4"/>
        <v>29720.239361349417</v>
      </c>
      <c r="N37" s="25">
        <f t="shared" si="4"/>
        <v>30611.8465421899</v>
      </c>
      <c r="O37" s="25">
        <f t="shared" si="4"/>
        <v>31530.2019384556</v>
      </c>
      <c r="P37" s="25">
        <f t="shared" si="4"/>
        <v>32476.10799660927</v>
      </c>
      <c r="Q37" s="25">
        <f t="shared" si="4"/>
        <v>33450.391236507545</v>
      </c>
      <c r="R37" s="25">
        <f t="shared" si="4"/>
        <v>34453.90297360277</v>
      </c>
      <c r="S37" s="25">
        <f t="shared" si="4"/>
        <v>35487.52006281086</v>
      </c>
      <c r="T37" s="25">
        <f t="shared" si="4"/>
        <v>36552.145664695185</v>
      </c>
      <c r="U37" s="25">
        <f t="shared" si="4"/>
        <v>37648.71003463604</v>
      </c>
      <c r="V37" s="25">
        <f t="shared" si="4"/>
        <v>38778.17133567512</v>
      </c>
      <c r="W37" s="25">
        <f t="shared" si="4"/>
        <v>39941.516475745375</v>
      </c>
      <c r="X37" s="25">
        <f t="shared" si="4"/>
        <v>41139.76197001774</v>
      </c>
      <c r="Y37" s="25">
        <f t="shared" si="4"/>
        <v>42373.95482911827</v>
      </c>
      <c r="Z37" s="25">
        <f t="shared" si="4"/>
        <v>43645.173473991825</v>
      </c>
      <c r="AA37" s="25">
        <f t="shared" si="4"/>
        <v>44954.52867821158</v>
      </c>
      <c r="AB37" s="25">
        <f t="shared" si="4"/>
        <v>46303.164538557925</v>
      </c>
      <c r="AC37" s="25">
        <f t="shared" si="4"/>
        <v>47692.259474714665</v>
      </c>
      <c r="AD37" s="25">
        <f t="shared" si="4"/>
        <v>49123.02725895611</v>
      </c>
      <c r="AE37" s="25">
        <f t="shared" si="4"/>
        <v>50596.71807672479</v>
      </c>
      <c r="AF37" s="25">
        <f t="shared" si="4"/>
        <v>52114.61961902654</v>
      </c>
    </row>
    <row r="38" spans="1:7" ht="11.25">
      <c r="A38" s="3" t="s">
        <v>138</v>
      </c>
      <c r="G38" s="5"/>
    </row>
    <row r="40" spans="1:33" ht="12">
      <c r="A40" t="s">
        <v>49</v>
      </c>
      <c r="G40" s="19"/>
      <c r="I40" s="29">
        <f aca="true" t="shared" si="5" ref="I40:AF40">I37*$G$25/$G$17</f>
        <v>250.12551884430368</v>
      </c>
      <c r="J40" s="19">
        <f t="shared" si="5"/>
        <v>265.3581629419218</v>
      </c>
      <c r="K40" s="19">
        <f t="shared" si="5"/>
        <v>273.3189078301795</v>
      </c>
      <c r="L40" s="19">
        <f t="shared" si="5"/>
        <v>281.5184750650849</v>
      </c>
      <c r="M40" s="19">
        <f t="shared" si="5"/>
        <v>289.9640293170375</v>
      </c>
      <c r="N40" s="19">
        <f t="shared" si="5"/>
        <v>298.6629501965486</v>
      </c>
      <c r="O40" s="19">
        <f t="shared" si="5"/>
        <v>307.6228387024451</v>
      </c>
      <c r="P40" s="19">
        <f t="shared" si="5"/>
        <v>316.8515238635184</v>
      </c>
      <c r="Q40" s="19">
        <f t="shared" si="5"/>
        <v>326.357069579424</v>
      </c>
      <c r="R40" s="19">
        <f t="shared" si="5"/>
        <v>336.14778166680674</v>
      </c>
      <c r="S40" s="19">
        <f t="shared" si="5"/>
        <v>346.23221511681095</v>
      </c>
      <c r="T40" s="19">
        <f t="shared" si="5"/>
        <v>356.6191815703153</v>
      </c>
      <c r="U40" s="19">
        <f t="shared" si="5"/>
        <v>367.3177570174247</v>
      </c>
      <c r="V40" s="19">
        <f t="shared" si="5"/>
        <v>378.33728972794745</v>
      </c>
      <c r="W40" s="19">
        <f t="shared" si="5"/>
        <v>389.6874084197859</v>
      </c>
      <c r="X40" s="19">
        <f t="shared" si="5"/>
        <v>401.3780306723795</v>
      </c>
      <c r="Y40" s="19">
        <f t="shared" si="5"/>
        <v>413.4193715925509</v>
      </c>
      <c r="Z40" s="19">
        <f t="shared" si="5"/>
        <v>425.8219527403275</v>
      </c>
      <c r="AA40" s="19">
        <f t="shared" si="5"/>
        <v>438.59661132253734</v>
      </c>
      <c r="AB40" s="19">
        <f t="shared" si="5"/>
        <v>451.7545096622134</v>
      </c>
      <c r="AC40" s="19">
        <f t="shared" si="5"/>
        <v>465.3071449520798</v>
      </c>
      <c r="AD40" s="19">
        <f t="shared" si="5"/>
        <v>479.26635930064225</v>
      </c>
      <c r="AE40" s="19">
        <f t="shared" si="5"/>
        <v>493.6443500796615</v>
      </c>
      <c r="AF40" s="19">
        <f t="shared" si="5"/>
        <v>508.4536805820514</v>
      </c>
      <c r="AG40" s="19"/>
    </row>
    <row r="42" spans="1:7" ht="11.25">
      <c r="A42" s="101" t="s">
        <v>110</v>
      </c>
      <c r="G42" s="102">
        <f>1%/5</f>
        <v>0.002</v>
      </c>
    </row>
    <row r="43" spans="1:7" ht="11.25">
      <c r="A43" s="3" t="s">
        <v>268</v>
      </c>
      <c r="G43" s="5"/>
    </row>
    <row r="44" spans="1:7" ht="11.25">
      <c r="A44" t="s">
        <v>130</v>
      </c>
      <c r="G44" s="61">
        <f>G42*Summary!H59/37</f>
        <v>0.0005405405405405405</v>
      </c>
    </row>
    <row r="45" spans="1:33" ht="11.25">
      <c r="A45" t="s">
        <v>269</v>
      </c>
      <c r="E45" s="2"/>
      <c r="F45" s="37"/>
      <c r="H45" s="22">
        <f>G24*G11/2000+H27/100</f>
        <v>0.12933587125</v>
      </c>
      <c r="J45" s="36">
        <f aca="true" t="shared" si="6" ref="J45:AF45">J49*J15/(2000*$G$16)+J14*$H27/100</f>
        <v>0.1293200140222973</v>
      </c>
      <c r="K45" s="36">
        <f t="shared" si="6"/>
        <v>0.25860833073213807</v>
      </c>
      <c r="L45" s="36">
        <f t="shared" si="6"/>
        <v>0.38786497583004587</v>
      </c>
      <c r="M45" s="36">
        <f t="shared" si="6"/>
        <v>0.5170899749980216</v>
      </c>
      <c r="N45" s="36">
        <f t="shared" si="6"/>
        <v>0.6462833538995553</v>
      </c>
      <c r="O45" s="36">
        <f t="shared" si="6"/>
        <v>0.7754451381796394</v>
      </c>
      <c r="P45" s="36">
        <f t="shared" si="6"/>
        <v>0.9045753534647815</v>
      </c>
      <c r="Q45" s="36">
        <f t="shared" si="6"/>
        <v>1.0336740253630152</v>
      </c>
      <c r="R45" s="36">
        <f t="shared" si="6"/>
        <v>1.1627411794639149</v>
      </c>
      <c r="S45" s="36">
        <f t="shared" si="6"/>
        <v>1.2917768413386055</v>
      </c>
      <c r="T45" s="36">
        <f t="shared" si="6"/>
        <v>1.4207810365397784</v>
      </c>
      <c r="U45" s="36">
        <f t="shared" si="6"/>
        <v>1.5497537906017003</v>
      </c>
      <c r="V45" s="36">
        <f t="shared" si="6"/>
        <v>1.6786951290402283</v>
      </c>
      <c r="W45" s="36">
        <f t="shared" si="6"/>
        <v>1.8076050773528212</v>
      </c>
      <c r="X45" s="36">
        <f t="shared" si="6"/>
        <v>1.936483661018552</v>
      </c>
      <c r="Y45" s="36">
        <f t="shared" si="6"/>
        <v>2.0653309054981204</v>
      </c>
      <c r="Z45" s="36">
        <f t="shared" si="6"/>
        <v>2.1941468362338656</v>
      </c>
      <c r="AA45" s="36">
        <f t="shared" si="6"/>
        <v>2.322931478649778</v>
      </c>
      <c r="AB45" s="36">
        <f t="shared" si="6"/>
        <v>2.451684858151512</v>
      </c>
      <c r="AC45" s="36">
        <f t="shared" si="6"/>
        <v>2.5804070001263986</v>
      </c>
      <c r="AD45" s="36">
        <f t="shared" si="6"/>
        <v>2.5804070001263986</v>
      </c>
      <c r="AE45" s="36">
        <f t="shared" si="6"/>
        <v>2.5804070001263986</v>
      </c>
      <c r="AF45" s="36">
        <f t="shared" si="6"/>
        <v>2.5804070001263986</v>
      </c>
      <c r="AG45" s="36"/>
    </row>
    <row r="46" spans="1:32" ht="11.25">
      <c r="A46" t="s">
        <v>271</v>
      </c>
      <c r="H46" s="36">
        <f>2+0.22+0.1</f>
        <v>2.3200000000000003</v>
      </c>
      <c r="I46" s="90"/>
      <c r="J46" s="36">
        <f aca="true" t="shared" si="7" ref="J46:AF46">$H$46+J45</f>
        <v>2.4493200140222977</v>
      </c>
      <c r="K46" s="36">
        <f t="shared" si="7"/>
        <v>2.5786083307321386</v>
      </c>
      <c r="L46" s="36">
        <f t="shared" si="7"/>
        <v>2.707864975830046</v>
      </c>
      <c r="M46" s="36">
        <f t="shared" si="7"/>
        <v>2.8370899749980216</v>
      </c>
      <c r="N46" s="36">
        <f t="shared" si="7"/>
        <v>2.9662833538995557</v>
      </c>
      <c r="O46" s="36">
        <f t="shared" si="7"/>
        <v>3.09544513817964</v>
      </c>
      <c r="P46" s="36">
        <f t="shared" si="7"/>
        <v>3.2245753534647816</v>
      </c>
      <c r="Q46" s="36">
        <f t="shared" si="7"/>
        <v>3.3536740253630155</v>
      </c>
      <c r="R46" s="36">
        <f t="shared" si="7"/>
        <v>3.482741179463915</v>
      </c>
      <c r="S46" s="36">
        <f t="shared" si="7"/>
        <v>3.6117768413386058</v>
      </c>
      <c r="T46" s="36">
        <f t="shared" si="7"/>
        <v>3.7407810365397784</v>
      </c>
      <c r="U46" s="36">
        <f t="shared" si="7"/>
        <v>3.8697537906017008</v>
      </c>
      <c r="V46" s="36">
        <f t="shared" si="7"/>
        <v>3.998695129040229</v>
      </c>
      <c r="W46" s="36">
        <f t="shared" si="7"/>
        <v>4.127605077352822</v>
      </c>
      <c r="X46" s="36">
        <f t="shared" si="7"/>
        <v>4.256483661018552</v>
      </c>
      <c r="Y46" s="36">
        <f t="shared" si="7"/>
        <v>4.385330905498121</v>
      </c>
      <c r="Z46" s="36">
        <f t="shared" si="7"/>
        <v>4.514146836233866</v>
      </c>
      <c r="AA46" s="36">
        <f t="shared" si="7"/>
        <v>4.642931478649778</v>
      </c>
      <c r="AB46" s="36">
        <f t="shared" si="7"/>
        <v>4.771684858151512</v>
      </c>
      <c r="AC46" s="36">
        <f t="shared" si="7"/>
        <v>4.900407000126399</v>
      </c>
      <c r="AD46" s="36">
        <f t="shared" si="7"/>
        <v>4.900407000126399</v>
      </c>
      <c r="AE46" s="36">
        <f t="shared" si="7"/>
        <v>4.900407000126399</v>
      </c>
      <c r="AF46" s="36">
        <f t="shared" si="7"/>
        <v>4.900407000126399</v>
      </c>
    </row>
    <row r="47" ht="11.25">
      <c r="A47" s="3" t="s">
        <v>270</v>
      </c>
    </row>
    <row r="49" spans="1:32" ht="11.25">
      <c r="A49" t="s">
        <v>70</v>
      </c>
      <c r="G49" s="23">
        <f>G25</f>
        <v>21.512972249999997</v>
      </c>
      <c r="I49" s="74">
        <f aca="true" t="shared" si="8" ref="I49:AF49">$G$49*(1-$G$44)^(I15/$G$11)</f>
        <v>21.512972249999997</v>
      </c>
      <c r="J49" s="7">
        <f t="shared" si="8"/>
        <v>21.50134361635135</v>
      </c>
      <c r="K49" s="7">
        <f t="shared" si="8"/>
        <v>21.489721268450616</v>
      </c>
      <c r="L49" s="7">
        <f t="shared" si="8"/>
        <v>21.478105202900103</v>
      </c>
      <c r="M49" s="7">
        <f t="shared" si="8"/>
        <v>21.466495416303943</v>
      </c>
      <c r="N49" s="7">
        <f t="shared" si="8"/>
        <v>21.454891905268102</v>
      </c>
      <c r="O49" s="7">
        <f t="shared" si="8"/>
        <v>21.443294666400387</v>
      </c>
      <c r="P49" s="7">
        <f t="shared" si="8"/>
        <v>21.431703696310443</v>
      </c>
      <c r="Q49" s="7">
        <f t="shared" si="8"/>
        <v>21.420118991609733</v>
      </c>
      <c r="R49" s="7">
        <f t="shared" si="8"/>
        <v>21.408540548911567</v>
      </c>
      <c r="S49" s="7">
        <f t="shared" si="8"/>
        <v>21.396968364831075</v>
      </c>
      <c r="T49" s="7">
        <f t="shared" si="8"/>
        <v>21.38540243598522</v>
      </c>
      <c r="U49" s="7">
        <f t="shared" si="8"/>
        <v>21.373842758992794</v>
      </c>
      <c r="V49" s="7">
        <f t="shared" si="8"/>
        <v>21.362289330474418</v>
      </c>
      <c r="W49" s="7">
        <f t="shared" si="8"/>
        <v>21.35074214705254</v>
      </c>
      <c r="X49" s="7">
        <f t="shared" si="8"/>
        <v>21.339201205351433</v>
      </c>
      <c r="Y49" s="7">
        <f t="shared" si="8"/>
        <v>21.327666501997186</v>
      </c>
      <c r="Z49" s="7">
        <f t="shared" si="8"/>
        <v>21.31613803361773</v>
      </c>
      <c r="AA49" s="7">
        <f t="shared" si="8"/>
        <v>21.3046157968428</v>
      </c>
      <c r="AB49" s="7">
        <f t="shared" si="8"/>
        <v>21.293099788303966</v>
      </c>
      <c r="AC49" s="7">
        <f t="shared" si="8"/>
        <v>21.281590004634612</v>
      </c>
      <c r="AD49" s="7">
        <f t="shared" si="8"/>
        <v>21.281590004634612</v>
      </c>
      <c r="AE49" s="7">
        <f t="shared" si="8"/>
        <v>21.281590004634612</v>
      </c>
      <c r="AF49" s="7">
        <f t="shared" si="8"/>
        <v>21.281590004634612</v>
      </c>
    </row>
    <row r="50" spans="1:8" ht="12">
      <c r="A50" s="9"/>
      <c r="B50" s="9"/>
      <c r="C50" s="9"/>
      <c r="D50" s="9"/>
      <c r="E50" s="9"/>
      <c r="F50" s="9"/>
      <c r="H50" s="38"/>
    </row>
    <row r="51" spans="1:33" s="9" customFormat="1" ht="12">
      <c r="A51" s="45" t="s">
        <v>113</v>
      </c>
      <c r="G51" s="27"/>
      <c r="I51" s="78"/>
      <c r="J51" s="28"/>
      <c r="K51" s="28"/>
      <c r="L51" s="28"/>
      <c r="M51" s="28"/>
      <c r="N51" s="28"/>
      <c r="O51" s="28"/>
      <c r="P51" s="28"/>
      <c r="Q51" s="28"/>
      <c r="R51" s="28"/>
      <c r="S51" s="28"/>
      <c r="T51" s="28"/>
      <c r="U51" s="28"/>
      <c r="V51" s="28"/>
      <c r="W51" s="28"/>
      <c r="X51" s="28"/>
      <c r="Y51" s="28"/>
      <c r="Z51" s="28"/>
      <c r="AA51" s="28"/>
      <c r="AB51" s="28"/>
      <c r="AC51" s="28"/>
      <c r="AD51" s="28"/>
      <c r="AE51" s="28"/>
      <c r="AF51" s="28"/>
      <c r="AG51" s="28"/>
    </row>
    <row r="52" spans="1:32" s="9" customFormat="1" ht="12">
      <c r="A52" s="9" t="s">
        <v>272</v>
      </c>
      <c r="G52" s="27"/>
      <c r="I52" s="76"/>
      <c r="J52" s="28">
        <f>J120*J37</f>
        <v>88.37533791731208</v>
      </c>
      <c r="K52" s="28">
        <f>K120*K37</f>
        <v>267.5259831725336</v>
      </c>
      <c r="L52" s="28">
        <f>L120*L37</f>
        <v>539.4139179431902</v>
      </c>
      <c r="M52" s="28">
        <f>M120*M37</f>
        <v>905.5755047916307</v>
      </c>
      <c r="N52" s="28">
        <f>N120*N37</f>
        <v>1367.1376061056158</v>
      </c>
      <c r="O52" s="28">
        <f>O120*O37</f>
        <v>1924.8368948415014</v>
      </c>
      <c r="P52" s="28">
        <f>P120*P37</f>
        <v>2579.041841860601</v>
      </c>
      <c r="Q52" s="28">
        <f>Q120*Q37</f>
        <v>3329.7769031339503</v>
      </c>
      <c r="R52" s="28">
        <f>R120*R37</f>
        <v>4176.748463664511</v>
      </c>
      <c r="S52" s="28">
        <f>S120*S37</f>
        <v>5119.372126171845</v>
      </c>
      <c r="T52" s="28">
        <f>T120*T37</f>
        <v>6057.71526199385</v>
      </c>
      <c r="U52" s="28">
        <f>U120*U37</f>
        <v>6995.2238662598065</v>
      </c>
      <c r="V52" s="28">
        <f>V120*V37</f>
        <v>7934.957799827112</v>
      </c>
      <c r="W52" s="28">
        <f>W120*W37</f>
        <v>8820.47414826628</v>
      </c>
      <c r="X52" s="28">
        <f>X120*X37</f>
        <v>9654.376155361682</v>
      </c>
      <c r="Y52" s="28">
        <f>Y120*Y37</f>
        <v>10438.395040467965</v>
      </c>
      <c r="Z52" s="28">
        <f>Z120*Z37</f>
        <v>11173.474512376111</v>
      </c>
      <c r="AA52" s="28">
        <f>AA120*AA37</f>
        <v>11859.833144855793</v>
      </c>
      <c r="AB52" s="28">
        <f>AB120*AB37</f>
        <v>12497.008699544695</v>
      </c>
      <c r="AC52" s="28">
        <f>AC120*AC37</f>
        <v>13083.887436497469</v>
      </c>
      <c r="AD52" s="28">
        <f>AD120*AD37</f>
        <v>13618.72067228004</v>
      </c>
      <c r="AE52" s="28">
        <f>AE120*AE37</f>
        <v>14099.13025394608</v>
      </c>
      <c r="AF52" s="28">
        <f>AF120*AF37</f>
        <v>14522.104161564464</v>
      </c>
    </row>
    <row r="53" spans="1:33" s="9" customFormat="1" ht="12">
      <c r="A53" s="9" t="s">
        <v>273</v>
      </c>
      <c r="I53" s="77"/>
      <c r="J53" s="28">
        <f aca="true" t="shared" si="9" ref="J53:AF53">J37-J52</f>
        <v>27109.853827601077</v>
      </c>
      <c r="K53" s="28">
        <f t="shared" si="9"/>
        <v>27746.650057311406</v>
      </c>
      <c r="L53" s="28">
        <f t="shared" si="9"/>
        <v>28315.18740375527</v>
      </c>
      <c r="M53" s="28">
        <f t="shared" si="9"/>
        <v>28814.663856557785</v>
      </c>
      <c r="N53" s="28">
        <f t="shared" si="9"/>
        <v>29244.708936084287</v>
      </c>
      <c r="O53" s="28">
        <f t="shared" si="9"/>
        <v>29605.3650436141</v>
      </c>
      <c r="P53" s="28">
        <f t="shared" si="9"/>
        <v>29897.066154748667</v>
      </c>
      <c r="Q53" s="28">
        <f t="shared" si="9"/>
        <v>30120.614333373596</v>
      </c>
      <c r="R53" s="28">
        <f t="shared" si="9"/>
        <v>30277.154509938264</v>
      </c>
      <c r="S53" s="28">
        <f t="shared" si="9"/>
        <v>30368.147936639012</v>
      </c>
      <c r="T53" s="28">
        <f t="shared" si="9"/>
        <v>30494.430402701335</v>
      </c>
      <c r="U53" s="28">
        <f t="shared" si="9"/>
        <v>30653.486168376232</v>
      </c>
      <c r="V53" s="28">
        <f t="shared" si="9"/>
        <v>30843.213535848008</v>
      </c>
      <c r="W53" s="28">
        <f t="shared" si="9"/>
        <v>31121.042327479096</v>
      </c>
      <c r="X53" s="28">
        <f t="shared" si="9"/>
        <v>31485.385814656056</v>
      </c>
      <c r="Y53" s="28">
        <f t="shared" si="9"/>
        <v>31935.55978865031</v>
      </c>
      <c r="Z53" s="28">
        <f t="shared" si="9"/>
        <v>32471.698961615715</v>
      </c>
      <c r="AA53" s="28">
        <f t="shared" si="9"/>
        <v>33094.695533355785</v>
      </c>
      <c r="AB53" s="28">
        <f t="shared" si="9"/>
        <v>33806.15583901323</v>
      </c>
      <c r="AC53" s="28">
        <f t="shared" si="9"/>
        <v>34608.372038217196</v>
      </c>
      <c r="AD53" s="28">
        <f t="shared" si="9"/>
        <v>35504.306586676066</v>
      </c>
      <c r="AE53" s="28">
        <f t="shared" si="9"/>
        <v>36497.58782277871</v>
      </c>
      <c r="AF53" s="28">
        <f t="shared" si="9"/>
        <v>37592.515457462076</v>
      </c>
      <c r="AG53" s="28"/>
    </row>
    <row r="54" spans="1:32" s="9" customFormat="1" ht="12">
      <c r="A54" s="9" t="s">
        <v>50</v>
      </c>
      <c r="G54" s="27"/>
      <c r="I54" s="78"/>
      <c r="J54" s="29">
        <f aca="true" t="shared" si="10" ref="J54:AF54">J53*J49/$G$17</f>
        <v>264.3529626015005</v>
      </c>
      <c r="K54" s="29">
        <f t="shared" si="10"/>
        <v>270.41622488202336</v>
      </c>
      <c r="L54" s="29">
        <f t="shared" si="10"/>
        <v>275.807970021627</v>
      </c>
      <c r="M54" s="29">
        <f t="shared" si="10"/>
        <v>280.52147374110507</v>
      </c>
      <c r="N54" s="29">
        <f t="shared" si="10"/>
        <v>284.55422631506417</v>
      </c>
      <c r="O54" s="29">
        <f t="shared" si="10"/>
        <v>287.90773983517767</v>
      </c>
      <c r="P54" s="29">
        <f t="shared" si="10"/>
        <v>290.587330257399</v>
      </c>
      <c r="Q54" s="29">
        <f t="shared" si="10"/>
        <v>292.6018789665524</v>
      </c>
      <c r="R54" s="29">
        <f t="shared" si="10"/>
        <v>293.9635782456572</v>
      </c>
      <c r="S54" s="29">
        <f t="shared" si="10"/>
        <v>294.6876647159977</v>
      </c>
      <c r="T54" s="29">
        <f t="shared" si="10"/>
        <v>295.7531366067623</v>
      </c>
      <c r="U54" s="29">
        <f t="shared" si="10"/>
        <v>297.1350536860926</v>
      </c>
      <c r="V54" s="29">
        <f t="shared" si="10"/>
        <v>298.81254033305675</v>
      </c>
      <c r="W54" s="29">
        <f t="shared" si="10"/>
        <v>301.34120185102677</v>
      </c>
      <c r="X54" s="29">
        <f t="shared" si="10"/>
        <v>304.70430064719426</v>
      </c>
      <c r="Y54" s="29">
        <f t="shared" si="10"/>
        <v>308.8938633682202</v>
      </c>
      <c r="Z54" s="29">
        <f t="shared" si="10"/>
        <v>313.90984909382405</v>
      </c>
      <c r="AA54" s="29">
        <f t="shared" si="10"/>
        <v>319.7595343544828</v>
      </c>
      <c r="AB54" s="29">
        <f t="shared" si="10"/>
        <v>326.4570747115934</v>
      </c>
      <c r="AC54" s="29">
        <f t="shared" si="10"/>
        <v>334.02321290031705</v>
      </c>
      <c r="AD54" s="29">
        <f t="shared" si="10"/>
        <v>342.67033840203544</v>
      </c>
      <c r="AE54" s="29">
        <f t="shared" si="10"/>
        <v>352.25700689456755</v>
      </c>
      <c r="AF54" s="29">
        <f t="shared" si="10"/>
        <v>362.8247171014046</v>
      </c>
    </row>
    <row r="55" spans="1:32" s="9" customFormat="1" ht="12">
      <c r="A55" s="9" t="s">
        <v>56</v>
      </c>
      <c r="G55" s="27"/>
      <c r="I55" s="78"/>
      <c r="J55" s="29">
        <f aca="true" t="shared" si="11" ref="J55:AF55">J40-J54</f>
        <v>1.005200340421311</v>
      </c>
      <c r="K55" s="29">
        <f t="shared" si="11"/>
        <v>2.902682948156155</v>
      </c>
      <c r="L55" s="29">
        <f t="shared" si="11"/>
        <v>5.710505043457886</v>
      </c>
      <c r="M55" s="29">
        <f t="shared" si="11"/>
        <v>9.442555575932431</v>
      </c>
      <c r="N55" s="29">
        <f t="shared" si="11"/>
        <v>14.108723881484423</v>
      </c>
      <c r="O55" s="29">
        <f t="shared" si="11"/>
        <v>19.715098867267443</v>
      </c>
      <c r="P55" s="29">
        <f t="shared" si="11"/>
        <v>26.26419360611942</v>
      </c>
      <c r="Q55" s="29">
        <f t="shared" si="11"/>
        <v>33.75519061287156</v>
      </c>
      <c r="R55" s="29">
        <f t="shared" si="11"/>
        <v>42.18420342114956</v>
      </c>
      <c r="S55" s="29">
        <f t="shared" si="11"/>
        <v>51.54455040081325</v>
      </c>
      <c r="T55" s="29">
        <f t="shared" si="11"/>
        <v>60.86604496355295</v>
      </c>
      <c r="U55" s="29">
        <f t="shared" si="11"/>
        <v>70.1827033313321</v>
      </c>
      <c r="V55" s="29">
        <f t="shared" si="11"/>
        <v>79.5247493948907</v>
      </c>
      <c r="W55" s="29">
        <f t="shared" si="11"/>
        <v>88.34620656875916</v>
      </c>
      <c r="X55" s="29">
        <f t="shared" si="11"/>
        <v>96.67373002518525</v>
      </c>
      <c r="Y55" s="29">
        <f t="shared" si="11"/>
        <v>104.52550822433068</v>
      </c>
      <c r="Z55" s="29">
        <f t="shared" si="11"/>
        <v>111.91210364650345</v>
      </c>
      <c r="AA55" s="29">
        <f t="shared" si="11"/>
        <v>118.83707696805453</v>
      </c>
      <c r="AB55" s="29">
        <f t="shared" si="11"/>
        <v>125.29743495062002</v>
      </c>
      <c r="AC55" s="29">
        <f t="shared" si="11"/>
        <v>131.28393205176275</v>
      </c>
      <c r="AD55" s="29">
        <f t="shared" si="11"/>
        <v>136.5960208986068</v>
      </c>
      <c r="AE55" s="29">
        <f t="shared" si="11"/>
        <v>141.38734318509393</v>
      </c>
      <c r="AF55" s="29">
        <f t="shared" si="11"/>
        <v>145.6289634806468</v>
      </c>
    </row>
    <row r="56" spans="1:32" s="9" customFormat="1" ht="12">
      <c r="A56" s="9" t="s">
        <v>242</v>
      </c>
      <c r="G56" s="27"/>
      <c r="I56" s="78"/>
      <c r="J56" s="29">
        <f>$J$40-J54</f>
        <v>1.005200340421311</v>
      </c>
      <c r="K56" s="29">
        <f aca="true" t="shared" si="12" ref="K56:AF56">$J$40-K54</f>
        <v>-5.058061940101538</v>
      </c>
      <c r="L56" s="29">
        <f t="shared" si="12"/>
        <v>-10.449807079705181</v>
      </c>
      <c r="M56" s="29">
        <f t="shared" si="12"/>
        <v>-15.16331079918325</v>
      </c>
      <c r="N56" s="29">
        <f t="shared" si="12"/>
        <v>-19.19606337314235</v>
      </c>
      <c r="O56" s="29">
        <f t="shared" si="12"/>
        <v>-22.549576893255846</v>
      </c>
      <c r="P56" s="29">
        <f t="shared" si="12"/>
        <v>-25.229167315477184</v>
      </c>
      <c r="Q56" s="29">
        <f t="shared" si="12"/>
        <v>-27.2437160246306</v>
      </c>
      <c r="R56" s="29">
        <f t="shared" si="12"/>
        <v>-28.605415303735356</v>
      </c>
      <c r="S56" s="29">
        <f t="shared" si="12"/>
        <v>-29.32950177407588</v>
      </c>
      <c r="T56" s="29">
        <f t="shared" si="12"/>
        <v>-30.394973664840506</v>
      </c>
      <c r="U56" s="29">
        <f t="shared" si="12"/>
        <v>-31.77689074417077</v>
      </c>
      <c r="V56" s="29">
        <f t="shared" si="12"/>
        <v>-33.454377391134926</v>
      </c>
      <c r="W56" s="29">
        <f t="shared" si="12"/>
        <v>-35.98303890910495</v>
      </c>
      <c r="X56" s="29">
        <f t="shared" si="12"/>
        <v>-39.34613770527244</v>
      </c>
      <c r="Y56" s="29">
        <f t="shared" si="12"/>
        <v>-43.535700426298376</v>
      </c>
      <c r="Z56" s="29">
        <f t="shared" si="12"/>
        <v>-48.55168615190223</v>
      </c>
      <c r="AA56" s="29">
        <f t="shared" si="12"/>
        <v>-54.40137141256099</v>
      </c>
      <c r="AB56" s="29">
        <f t="shared" si="12"/>
        <v>-61.09891176967159</v>
      </c>
      <c r="AC56" s="29">
        <f t="shared" si="12"/>
        <v>-68.66504995839523</v>
      </c>
      <c r="AD56" s="29">
        <f t="shared" si="12"/>
        <v>-77.31217546011362</v>
      </c>
      <c r="AE56" s="29">
        <f t="shared" si="12"/>
        <v>-86.89884395264573</v>
      </c>
      <c r="AF56" s="29">
        <f t="shared" si="12"/>
        <v>-97.46655415948277</v>
      </c>
    </row>
    <row r="57" spans="1:33" s="9" customFormat="1" ht="12">
      <c r="A57" s="9" t="s">
        <v>274</v>
      </c>
      <c r="G57" s="27"/>
      <c r="I57" s="78"/>
      <c r="J57" s="51">
        <f aca="true" t="shared" si="13" ref="J57:AF57">J54*$G$17*1000000*J15/($G$16*2000*1000000)</f>
        <v>794.8612943676935</v>
      </c>
      <c r="K57" s="51">
        <f t="shared" si="13"/>
        <v>1626.1848432678041</v>
      </c>
      <c r="L57" s="51">
        <f t="shared" si="13"/>
        <v>2487.9132568541763</v>
      </c>
      <c r="M57" s="51">
        <f t="shared" si="13"/>
        <v>3373.9082705407454</v>
      </c>
      <c r="N57" s="51">
        <f t="shared" si="13"/>
        <v>4278.014106986704</v>
      </c>
      <c r="O57" s="51">
        <f t="shared" si="13"/>
        <v>5194.117360935546</v>
      </c>
      <c r="P57" s="51">
        <f t="shared" si="13"/>
        <v>6116.202876167665</v>
      </c>
      <c r="Q57" s="51">
        <f t="shared" si="13"/>
        <v>7038.405197686344</v>
      </c>
      <c r="R57" s="51">
        <f t="shared" si="13"/>
        <v>7955.055286752364</v>
      </c>
      <c r="S57" s="51">
        <f t="shared" si="13"/>
        <v>8860.722282256022</v>
      </c>
      <c r="T57" s="51">
        <f t="shared" si="13"/>
        <v>9782.034993268664</v>
      </c>
      <c r="U57" s="51">
        <f t="shared" si="13"/>
        <v>10721.172982546377</v>
      </c>
      <c r="V57" s="51">
        <f t="shared" si="13"/>
        <v>11680.17472997328</v>
      </c>
      <c r="W57" s="51">
        <f t="shared" si="13"/>
        <v>12685.094865192541</v>
      </c>
      <c r="X57" s="51">
        <f t="shared" si="13"/>
        <v>13742.85646896266</v>
      </c>
      <c r="Y57" s="51">
        <f t="shared" si="13"/>
        <v>14860.602954042013</v>
      </c>
      <c r="Z57" s="51">
        <f t="shared" si="13"/>
        <v>16045.787309020903</v>
      </c>
      <c r="AA57" s="51">
        <f t="shared" si="13"/>
        <v>17306.25807072194</v>
      </c>
      <c r="AB57" s="51">
        <f t="shared" si="13"/>
        <v>18650.344288693916</v>
      </c>
      <c r="AC57" s="51">
        <f t="shared" si="13"/>
        <v>20086.941393959976</v>
      </c>
      <c r="AD57" s="51">
        <f t="shared" si="13"/>
        <v>20606.948077540583</v>
      </c>
      <c r="AE57" s="51">
        <f t="shared" si="13"/>
        <v>21183.455460068766</v>
      </c>
      <c r="AF57" s="51">
        <f t="shared" si="13"/>
        <v>21818.95912387083</v>
      </c>
      <c r="AG57" s="51"/>
    </row>
    <row r="58" spans="1:32" s="9" customFormat="1" ht="12">
      <c r="A58" s="9" t="s">
        <v>207</v>
      </c>
      <c r="G58" s="27"/>
      <c r="I58" s="78"/>
      <c r="J58" s="51">
        <f aca="true" t="shared" si="14" ref="J58:AF58">J53*$H$27*J14/100</f>
        <v>2710.9853827601078</v>
      </c>
      <c r="K58" s="51">
        <f t="shared" si="14"/>
        <v>5549.330011462282</v>
      </c>
      <c r="L58" s="51">
        <f t="shared" si="14"/>
        <v>8494.55622112658</v>
      </c>
      <c r="M58" s="51">
        <f t="shared" si="14"/>
        <v>11525.865542623114</v>
      </c>
      <c r="N58" s="51">
        <f t="shared" si="14"/>
        <v>14622.354468042146</v>
      </c>
      <c r="O58" s="51">
        <f t="shared" si="14"/>
        <v>17763.21902616846</v>
      </c>
      <c r="P58" s="51">
        <f t="shared" si="14"/>
        <v>20927.946308324066</v>
      </c>
      <c r="Q58" s="51">
        <f t="shared" si="14"/>
        <v>24096.49146669888</v>
      </c>
      <c r="R58" s="51">
        <f t="shared" si="14"/>
        <v>27249.439058944437</v>
      </c>
      <c r="S58" s="51">
        <f t="shared" si="14"/>
        <v>30368.147936639012</v>
      </c>
      <c r="T58" s="51">
        <f t="shared" si="14"/>
        <v>33543.87344297147</v>
      </c>
      <c r="U58" s="51">
        <f t="shared" si="14"/>
        <v>36784.18340205148</v>
      </c>
      <c r="V58" s="51">
        <f t="shared" si="14"/>
        <v>40096.177596602414</v>
      </c>
      <c r="W58" s="51">
        <f t="shared" si="14"/>
        <v>43569.45925847074</v>
      </c>
      <c r="X58" s="51">
        <f t="shared" si="14"/>
        <v>47228.078721984086</v>
      </c>
      <c r="Y58" s="51">
        <f t="shared" si="14"/>
        <v>51096.89566184049</v>
      </c>
      <c r="Z58" s="51">
        <f t="shared" si="14"/>
        <v>55201.888234746715</v>
      </c>
      <c r="AA58" s="51">
        <f t="shared" si="14"/>
        <v>59570.45196004042</v>
      </c>
      <c r="AB58" s="51">
        <f t="shared" si="14"/>
        <v>64231.69609412513</v>
      </c>
      <c r="AC58" s="51">
        <f t="shared" si="14"/>
        <v>69216.74407643439</v>
      </c>
      <c r="AD58" s="51">
        <f t="shared" si="14"/>
        <v>71008.61317335213</v>
      </c>
      <c r="AE58" s="51">
        <f t="shared" si="14"/>
        <v>72995.17564555742</v>
      </c>
      <c r="AF58" s="51">
        <f t="shared" si="14"/>
        <v>75185.03091492415</v>
      </c>
    </row>
    <row r="59" spans="1:33" s="9" customFormat="1" ht="12">
      <c r="A59" s="9" t="s">
        <v>275</v>
      </c>
      <c r="G59" s="27"/>
      <c r="I59" s="78"/>
      <c r="J59" s="51">
        <f aca="true" t="shared" si="15" ref="J59:AF59">J57+J58</f>
        <v>3505.8466771278013</v>
      </c>
      <c r="K59" s="51">
        <f t="shared" si="15"/>
        <v>7175.514854730086</v>
      </c>
      <c r="L59" s="51">
        <f t="shared" si="15"/>
        <v>10982.469477980758</v>
      </c>
      <c r="M59" s="133">
        <f t="shared" si="15"/>
        <v>14899.77381316386</v>
      </c>
      <c r="N59" s="133">
        <f t="shared" si="15"/>
        <v>18900.36857502885</v>
      </c>
      <c r="O59" s="133">
        <f t="shared" si="15"/>
        <v>22957.336387104006</v>
      </c>
      <c r="P59" s="133">
        <f t="shared" si="15"/>
        <v>27044.149184491733</v>
      </c>
      <c r="Q59" s="133">
        <f t="shared" si="15"/>
        <v>31134.896664385225</v>
      </c>
      <c r="R59" s="133">
        <f t="shared" si="15"/>
        <v>35204.4943456968</v>
      </c>
      <c r="S59" s="133">
        <f t="shared" si="15"/>
        <v>39228.870218895034</v>
      </c>
      <c r="T59" s="133">
        <f t="shared" si="15"/>
        <v>43325.90843624013</v>
      </c>
      <c r="U59" s="133">
        <f t="shared" si="15"/>
        <v>47505.35638459786</v>
      </c>
      <c r="V59" s="133">
        <f t="shared" si="15"/>
        <v>51776.352326575696</v>
      </c>
      <c r="W59" s="133">
        <f t="shared" si="15"/>
        <v>56254.554123663285</v>
      </c>
      <c r="X59" s="133">
        <f t="shared" si="15"/>
        <v>60970.935190946744</v>
      </c>
      <c r="Y59" s="133">
        <f t="shared" si="15"/>
        <v>65957.4986158825</v>
      </c>
      <c r="Z59" s="133">
        <f t="shared" si="15"/>
        <v>71247.67554376762</v>
      </c>
      <c r="AA59" s="133">
        <f t="shared" si="15"/>
        <v>76876.71003076236</v>
      </c>
      <c r="AB59" s="133">
        <f t="shared" si="15"/>
        <v>82882.04038281905</v>
      </c>
      <c r="AC59" s="133">
        <f t="shared" si="15"/>
        <v>89303.68547039437</v>
      </c>
      <c r="AD59" s="133">
        <f t="shared" si="15"/>
        <v>91615.56125089272</v>
      </c>
      <c r="AE59" s="133">
        <f t="shared" si="15"/>
        <v>94178.63110562619</v>
      </c>
      <c r="AF59" s="133">
        <f t="shared" si="15"/>
        <v>97003.99003879499</v>
      </c>
      <c r="AG59" s="28"/>
    </row>
    <row r="60" spans="7:33" s="9" customFormat="1" ht="12">
      <c r="G60" s="27"/>
      <c r="I60" s="78"/>
      <c r="J60" s="28"/>
      <c r="K60" s="28"/>
      <c r="L60" s="28"/>
      <c r="M60" s="28"/>
      <c r="N60" s="28"/>
      <c r="O60" s="28"/>
      <c r="P60" s="28"/>
      <c r="Q60" s="28"/>
      <c r="R60" s="28"/>
      <c r="S60" s="28"/>
      <c r="T60" s="28"/>
      <c r="U60" s="28"/>
      <c r="V60" s="28"/>
      <c r="W60" s="28"/>
      <c r="X60" s="28"/>
      <c r="Y60" s="28"/>
      <c r="Z60" s="28"/>
      <c r="AA60" s="28"/>
      <c r="AB60" s="28"/>
      <c r="AC60" s="28"/>
      <c r="AD60" s="28"/>
      <c r="AE60" s="28"/>
      <c r="AF60" s="28"/>
      <c r="AG60" s="28"/>
    </row>
    <row r="61" spans="1:32" ht="11.25">
      <c r="A61" t="s">
        <v>276</v>
      </c>
      <c r="H61" s="16"/>
      <c r="J61" s="16">
        <f>J46/H46-1</f>
        <v>0.05574138535443862</v>
      </c>
      <c r="K61" s="16">
        <f aca="true" t="shared" si="16" ref="K61:AF61">K46/J46-1</f>
        <v>0.05278539185148068</v>
      </c>
      <c r="L61" s="16">
        <f t="shared" si="16"/>
        <v>0.05012651342098473</v>
      </c>
      <c r="M61" s="16">
        <f t="shared" si="16"/>
        <v>0.04772209852463716</v>
      </c>
      <c r="N61" s="16">
        <f t="shared" si="16"/>
        <v>0.04553728645903243</v>
      </c>
      <c r="O61" s="16">
        <f t="shared" si="16"/>
        <v>0.04354330617480784</v>
      </c>
      <c r="P61" s="16">
        <f t="shared" si="16"/>
        <v>0.041716202200592134</v>
      </c>
      <c r="Q61" s="16">
        <f t="shared" si="16"/>
        <v>0.04003586759401312</v>
      </c>
      <c r="R61" s="16">
        <f t="shared" si="16"/>
        <v>0.03848530093407887</v>
      </c>
      <c r="S61" s="16">
        <f t="shared" si="16"/>
        <v>0.03705002905055177</v>
      </c>
      <c r="T61" s="16">
        <f t="shared" si="16"/>
        <v>0.03571765390504056</v>
      </c>
      <c r="U61" s="16">
        <f t="shared" si="16"/>
        <v>0.03447749355071106</v>
      </c>
      <c r="V61" s="16">
        <f t="shared" si="16"/>
        <v>0.0333202951442757</v>
      </c>
      <c r="W61" s="16">
        <f t="shared" si="16"/>
        <v>0.03223800368685126</v>
      </c>
      <c r="X61" s="16">
        <f t="shared" si="16"/>
        <v>0.031223574264131138</v>
      </c>
      <c r="Y61" s="16">
        <f t="shared" si="16"/>
        <v>0.03027081853022695</v>
      </c>
      <c r="Z61" s="16">
        <f t="shared" si="16"/>
        <v>0.029374278363861306</v>
      </c>
      <c r="AA61" s="16">
        <f t="shared" si="16"/>
        <v>0.028529121246609</v>
      </c>
      <c r="AB61" s="16">
        <f t="shared" si="16"/>
        <v>0.027731053127490135</v>
      </c>
      <c r="AC61" s="16">
        <f t="shared" si="16"/>
        <v>0.026976245456568515</v>
      </c>
      <c r="AD61" s="16">
        <f t="shared" si="16"/>
        <v>0</v>
      </c>
      <c r="AE61" s="16">
        <f t="shared" si="16"/>
        <v>0</v>
      </c>
      <c r="AF61" s="16">
        <f t="shared" si="16"/>
        <v>0</v>
      </c>
    </row>
    <row r="63" spans="1:7" ht="11.25">
      <c r="A63" s="101" t="s">
        <v>277</v>
      </c>
      <c r="G63" s="101">
        <v>0.6</v>
      </c>
    </row>
    <row r="64" ht="11.25">
      <c r="A64" s="3" t="s">
        <v>283</v>
      </c>
    </row>
    <row r="66" spans="1:21" ht="11.25">
      <c r="A66" s="3"/>
      <c r="G66" s="5"/>
      <c r="U66" s="6"/>
    </row>
    <row r="67" spans="1:22" ht="11.25">
      <c r="A67" s="101" t="s">
        <v>58</v>
      </c>
      <c r="G67" s="100">
        <v>10</v>
      </c>
      <c r="L67" s="150" t="s">
        <v>279</v>
      </c>
      <c r="M67" s="138"/>
      <c r="N67" s="138"/>
      <c r="O67" s="138"/>
      <c r="P67" s="138"/>
      <c r="Q67" s="138"/>
      <c r="R67" s="138"/>
      <c r="S67" s="138"/>
      <c r="T67" s="138"/>
      <c r="U67" s="138"/>
      <c r="V67" s="138"/>
    </row>
    <row r="68" spans="1:22" ht="11.25">
      <c r="A68" s="3"/>
      <c r="L68" s="138"/>
      <c r="M68" s="138"/>
      <c r="N68" s="138"/>
      <c r="O68" s="138"/>
      <c r="P68" s="138"/>
      <c r="Q68" s="138"/>
      <c r="R68" s="138"/>
      <c r="S68" s="138"/>
      <c r="T68" s="138"/>
      <c r="U68" s="138"/>
      <c r="V68" s="138"/>
    </row>
    <row r="69" spans="12:22" ht="11.25">
      <c r="L69" s="138"/>
      <c r="M69" s="138"/>
      <c r="N69" s="138"/>
      <c r="O69" s="138"/>
      <c r="P69" s="138"/>
      <c r="Q69" s="138"/>
      <c r="R69" s="138"/>
      <c r="S69" s="138"/>
      <c r="T69" s="138"/>
      <c r="U69" s="138"/>
      <c r="V69" s="138"/>
    </row>
    <row r="70" spans="1:26" s="114" customFormat="1" ht="11.25">
      <c r="A70" s="114" t="s">
        <v>45</v>
      </c>
      <c r="G70" s="114">
        <f>J7</f>
        <v>2008</v>
      </c>
      <c r="I70" s="118"/>
      <c r="L70" s="138"/>
      <c r="M70" s="138"/>
      <c r="N70" s="138"/>
      <c r="O70" s="138"/>
      <c r="P70" s="138"/>
      <c r="Q70" s="138"/>
      <c r="R70" s="138"/>
      <c r="S70" s="138"/>
      <c r="T70" s="138"/>
      <c r="U70" s="138"/>
      <c r="V70" s="138"/>
      <c r="X70"/>
      <c r="Y70"/>
      <c r="Z70"/>
    </row>
    <row r="72" spans="1:32" s="41" customFormat="1" ht="11.25">
      <c r="A72" s="30" t="s">
        <v>112</v>
      </c>
      <c r="B72" s="6"/>
      <c r="C72" s="6"/>
      <c r="D72" s="6"/>
      <c r="E72" s="6"/>
      <c r="F72" s="6"/>
      <c r="G72">
        <f>G70</f>
        <v>2008</v>
      </c>
      <c r="I72" s="91"/>
      <c r="J72" s="6">
        <f>IF(J7&gt;=Summary!$H$67+$G$67,$G$63,((J7-$G$70+1)/$G$67)*$G$63)</f>
        <v>0.06</v>
      </c>
      <c r="K72" s="6">
        <f>IF(K7&gt;=Summary!$H$67+$G$67,$G$63,((K7-$G$70+1)/$G$67)*$G$63)</f>
        <v>0.12</v>
      </c>
      <c r="L72" s="6">
        <f>IF(L7&gt;=Summary!$H$67+$G$67,$G$63,((L7-$G$70+1)/$G$67)*$G$63)</f>
        <v>0.18</v>
      </c>
      <c r="M72" s="6">
        <f>IF(M7&gt;=Summary!$H$67+$G$67,$G$63,((M7-$G$70+1)/$G$67)*$G$63)</f>
        <v>0.24</v>
      </c>
      <c r="N72" s="6">
        <f>IF(N7&gt;=Summary!$H$67+$G$67,$G$63,((N7-$G$70+1)/$G$67)*$G$63)</f>
        <v>0.3</v>
      </c>
      <c r="O72" s="6">
        <f>IF(O7&gt;=Summary!$H$67+$G$67,$G$63,((O7-$G$70+1)/$G$67)*$G$63)</f>
        <v>0.36</v>
      </c>
      <c r="P72" s="6">
        <f>IF(P7&gt;=Summary!$H$67+$G$67,$G$63,((P7-$G$70+1)/$G$67)*$G$63)</f>
        <v>0.42</v>
      </c>
      <c r="Q72" s="6">
        <f>IF(Q7&gt;=Summary!$H$67+$G$67,$G$63,((Q7-$G$70+1)/$G$67)*$G$63)</f>
        <v>0.48</v>
      </c>
      <c r="R72" s="6">
        <f>IF(R7&gt;=Summary!$H$67+$G$67,$G$63,((R7-$G$70+1)/$G$67)*$G$63)</f>
        <v>0.54</v>
      </c>
      <c r="S72" s="6">
        <f>IF(S7&gt;=Summary!$H$67+$G$67,$G$63,((S7-$G$70+1)/$G$67)*$G$63)</f>
        <v>0.6</v>
      </c>
      <c r="T72" s="6">
        <f>IF(T7&gt;=Summary!$H$67+$G$67,$G$63,((T7-$G$70+1)/$G$67)*$G$63)</f>
        <v>0.6</v>
      </c>
      <c r="U72" s="6">
        <f>IF(U7&gt;=Summary!$H$67+$G$67,$G$63,((U7-$G$70+1)/$G$67)*$G$63)</f>
        <v>0.6</v>
      </c>
      <c r="V72" s="6">
        <f>IF(V7&gt;=Summary!$H$67+$G$67,$G$63,((V7-$G$70+1)/$G$67)*$G$63)</f>
        <v>0.6</v>
      </c>
      <c r="W72" s="6">
        <f>IF(W7&gt;=Summary!$H$67+$G$67,$G$63,((W7-$G$70+1)/$G$67)*$G$63)</f>
        <v>0.6</v>
      </c>
      <c r="X72" s="6">
        <f>IF(X7&gt;=Summary!$H$67+$G$67,$G$63,((X7-$G$70+1)/$G$67)*$G$63)</f>
        <v>0.6</v>
      </c>
      <c r="Y72" s="6">
        <f>IF(Y7&gt;=Summary!$H$67+$G$67,$G$63,((Y7-$G$70+1)/$G$67)*$G$63)</f>
        <v>0.6</v>
      </c>
      <c r="Z72" s="6">
        <f>IF(Z7&gt;=Summary!$H$67+$G$67,$G$63,((Z7-$G$70+1)/$G$67)*$G$63)</f>
        <v>0.6</v>
      </c>
      <c r="AA72" s="6">
        <f>IF(AA7&gt;=Summary!$H$67+$G$67,$G$63,((AA7-$G$70+1)/$G$67)*$G$63)</f>
        <v>0.6</v>
      </c>
      <c r="AB72" s="6">
        <f>IF(AB7&gt;=Summary!$H$67+$G$67,$G$63,((AB7-$G$70+1)/$G$67)*$G$63)</f>
        <v>0.6</v>
      </c>
      <c r="AC72" s="6">
        <f>IF(AC7&gt;=Summary!$H$67+$G$67,$G$63,((AC7-$G$70+1)/$G$67)*$G$63)</f>
        <v>0.6</v>
      </c>
      <c r="AD72" s="6">
        <f>IF(AD7&gt;=Summary!$H$67+$G$67,$G$63,((AD7-$G$70+1)/$G$67)*$G$63)</f>
        <v>0.6</v>
      </c>
      <c r="AE72" s="6">
        <f>IF(AE7&gt;=Summary!$H$67+$G$67,$G$63,((AE7-$G$70+1)/$G$67)*$G$63)</f>
        <v>0.6</v>
      </c>
      <c r="AF72" s="6">
        <f>IF(AF7&gt;=Summary!$H$67+$G$67,$G$63,((AF7-$G$70+1)/$G$67)*$G$63)</f>
        <v>0.6</v>
      </c>
    </row>
    <row r="73" spans="1:32" s="41" customFormat="1" ht="11.25">
      <c r="A73" s="30" t="s">
        <v>112</v>
      </c>
      <c r="F73"/>
      <c r="G73">
        <f>G72+1</f>
        <v>2009</v>
      </c>
      <c r="I73" s="91"/>
      <c r="J73" s="6"/>
      <c r="K73" s="6">
        <f>J72</f>
        <v>0.06</v>
      </c>
      <c r="L73" s="6">
        <f>K72</f>
        <v>0.12</v>
      </c>
      <c r="M73" s="6">
        <f>L72</f>
        <v>0.18</v>
      </c>
      <c r="N73" s="6">
        <f>M72</f>
        <v>0.24</v>
      </c>
      <c r="O73" s="6">
        <f>N72</f>
        <v>0.3</v>
      </c>
      <c r="P73" s="6">
        <f>O72</f>
        <v>0.36</v>
      </c>
      <c r="Q73" s="6">
        <f>P72</f>
        <v>0.42</v>
      </c>
      <c r="R73" s="6">
        <f>Q72</f>
        <v>0.48</v>
      </c>
      <c r="S73" s="6">
        <f>R72</f>
        <v>0.54</v>
      </c>
      <c r="T73" s="6">
        <f>S72</f>
        <v>0.6</v>
      </c>
      <c r="U73" s="6">
        <f>T72</f>
        <v>0.6</v>
      </c>
      <c r="V73" s="6">
        <f>U72</f>
        <v>0.6</v>
      </c>
      <c r="W73" s="6">
        <f>V72</f>
        <v>0.6</v>
      </c>
      <c r="X73" s="6">
        <f>W72</f>
        <v>0.6</v>
      </c>
      <c r="Y73" s="6">
        <f>X72</f>
        <v>0.6</v>
      </c>
      <c r="Z73" s="6">
        <f>Y72</f>
        <v>0.6</v>
      </c>
      <c r="AA73" s="6">
        <f aca="true" t="shared" si="17" ref="Q73:AF88">Z72</f>
        <v>0.6</v>
      </c>
      <c r="AB73" s="6">
        <f t="shared" si="17"/>
        <v>0.6</v>
      </c>
      <c r="AC73" s="6">
        <f t="shared" si="17"/>
        <v>0.6</v>
      </c>
      <c r="AD73" s="6">
        <f t="shared" si="17"/>
        <v>0.6</v>
      </c>
      <c r="AE73" s="6">
        <f t="shared" si="17"/>
        <v>0.6</v>
      </c>
      <c r="AF73" s="6">
        <f t="shared" si="17"/>
        <v>0.6</v>
      </c>
    </row>
    <row r="74" spans="1:32" s="41" customFormat="1" ht="11.25">
      <c r="A74" s="30" t="s">
        <v>112</v>
      </c>
      <c r="F74"/>
      <c r="G74">
        <f aca="true" t="shared" si="18" ref="G74:G94">G73+1</f>
        <v>2010</v>
      </c>
      <c r="I74" s="91"/>
      <c r="J74" s="6"/>
      <c r="K74" s="6"/>
      <c r="L74" s="6">
        <f>K73</f>
        <v>0.06</v>
      </c>
      <c r="M74" s="6">
        <f>L73</f>
        <v>0.12</v>
      </c>
      <c r="N74" s="6">
        <f>M73</f>
        <v>0.18</v>
      </c>
      <c r="O74" s="6">
        <f>N73</f>
        <v>0.24</v>
      </c>
      <c r="P74" s="6">
        <f>O73</f>
        <v>0.3</v>
      </c>
      <c r="Q74" s="6">
        <f>P73</f>
        <v>0.36</v>
      </c>
      <c r="R74" s="6">
        <f>Q73</f>
        <v>0.42</v>
      </c>
      <c r="S74" s="6">
        <f>R73</f>
        <v>0.48</v>
      </c>
      <c r="T74" s="6">
        <f>S73</f>
        <v>0.54</v>
      </c>
      <c r="U74" s="6">
        <f>T73</f>
        <v>0.6</v>
      </c>
      <c r="V74" s="6">
        <f>U73</f>
        <v>0.6</v>
      </c>
      <c r="W74" s="6">
        <f>V73</f>
        <v>0.6</v>
      </c>
      <c r="X74" s="6">
        <f>W73</f>
        <v>0.6</v>
      </c>
      <c r="Y74" s="6">
        <f>X73</f>
        <v>0.6</v>
      </c>
      <c r="Z74" s="6">
        <f>Y73</f>
        <v>0.6</v>
      </c>
      <c r="AA74" s="6">
        <f t="shared" si="17"/>
        <v>0.6</v>
      </c>
      <c r="AB74" s="6">
        <f t="shared" si="17"/>
        <v>0.6</v>
      </c>
      <c r="AC74" s="6">
        <f t="shared" si="17"/>
        <v>0.6</v>
      </c>
      <c r="AD74" s="6">
        <f t="shared" si="17"/>
        <v>0.6</v>
      </c>
      <c r="AE74" s="6">
        <f t="shared" si="17"/>
        <v>0.6</v>
      </c>
      <c r="AF74" s="6">
        <f t="shared" si="17"/>
        <v>0.6</v>
      </c>
    </row>
    <row r="75" spans="1:32" s="41" customFormat="1" ht="11.25">
      <c r="A75" s="30" t="s">
        <v>112</v>
      </c>
      <c r="F75"/>
      <c r="G75">
        <f t="shared" si="18"/>
        <v>2011</v>
      </c>
      <c r="H75"/>
      <c r="I75" s="91"/>
      <c r="J75" s="6"/>
      <c r="K75" s="6"/>
      <c r="L75" s="6"/>
      <c r="M75" s="6">
        <f>L74</f>
        <v>0.06</v>
      </c>
      <c r="N75" s="6">
        <f>M74</f>
        <v>0.12</v>
      </c>
      <c r="O75" s="6">
        <f>N74</f>
        <v>0.18</v>
      </c>
      <c r="P75" s="6">
        <f>O74</f>
        <v>0.24</v>
      </c>
      <c r="Q75" s="6">
        <f>P74</f>
        <v>0.3</v>
      </c>
      <c r="R75" s="6">
        <f>Q74</f>
        <v>0.36</v>
      </c>
      <c r="S75" s="6">
        <f>R74</f>
        <v>0.42</v>
      </c>
      <c r="T75" s="6">
        <f>S74</f>
        <v>0.48</v>
      </c>
      <c r="U75" s="6">
        <f>T74</f>
        <v>0.54</v>
      </c>
      <c r="V75" s="6">
        <f>U74</f>
        <v>0.6</v>
      </c>
      <c r="W75" s="6">
        <f>V74</f>
        <v>0.6</v>
      </c>
      <c r="X75" s="6">
        <f>W74</f>
        <v>0.6</v>
      </c>
      <c r="Y75" s="6">
        <f>X74</f>
        <v>0.6</v>
      </c>
      <c r="Z75" s="6">
        <f>Y74</f>
        <v>0.6</v>
      </c>
      <c r="AA75" s="6">
        <f t="shared" si="17"/>
        <v>0.6</v>
      </c>
      <c r="AB75" s="6">
        <f t="shared" si="17"/>
        <v>0.6</v>
      </c>
      <c r="AC75" s="6">
        <f t="shared" si="17"/>
        <v>0.6</v>
      </c>
      <c r="AD75" s="6">
        <f t="shared" si="17"/>
        <v>0.6</v>
      </c>
      <c r="AE75" s="6">
        <f t="shared" si="17"/>
        <v>0.6</v>
      </c>
      <c r="AF75" s="6">
        <f t="shared" si="17"/>
        <v>0.6</v>
      </c>
    </row>
    <row r="76" spans="1:32" s="41" customFormat="1" ht="11.25">
      <c r="A76" s="30" t="s">
        <v>112</v>
      </c>
      <c r="F76"/>
      <c r="G76">
        <f t="shared" si="18"/>
        <v>2012</v>
      </c>
      <c r="H76"/>
      <c r="I76" s="91"/>
      <c r="J76" s="6"/>
      <c r="K76" s="6"/>
      <c r="L76" s="6"/>
      <c r="M76" s="6"/>
      <c r="N76" s="6">
        <f>M75</f>
        <v>0.06</v>
      </c>
      <c r="O76" s="6">
        <f>N75</f>
        <v>0.12</v>
      </c>
      <c r="P76" s="6">
        <f>O75</f>
        <v>0.18</v>
      </c>
      <c r="Q76" s="6">
        <f>P75</f>
        <v>0.24</v>
      </c>
      <c r="R76" s="6">
        <f>Q75</f>
        <v>0.3</v>
      </c>
      <c r="S76" s="6">
        <f>R75</f>
        <v>0.36</v>
      </c>
      <c r="T76" s="6">
        <f>S75</f>
        <v>0.42</v>
      </c>
      <c r="U76" s="6">
        <f>T75</f>
        <v>0.48</v>
      </c>
      <c r="V76" s="6">
        <f>U75</f>
        <v>0.54</v>
      </c>
      <c r="W76" s="6">
        <f>V75</f>
        <v>0.6</v>
      </c>
      <c r="X76" s="6">
        <f>W75</f>
        <v>0.6</v>
      </c>
      <c r="Y76" s="6">
        <f>X75</f>
        <v>0.6</v>
      </c>
      <c r="Z76" s="6">
        <f>Y75</f>
        <v>0.6</v>
      </c>
      <c r="AA76" s="6">
        <f t="shared" si="17"/>
        <v>0.6</v>
      </c>
      <c r="AB76" s="6">
        <f t="shared" si="17"/>
        <v>0.6</v>
      </c>
      <c r="AC76" s="6">
        <f t="shared" si="17"/>
        <v>0.6</v>
      </c>
      <c r="AD76" s="6">
        <f t="shared" si="17"/>
        <v>0.6</v>
      </c>
      <c r="AE76" s="6">
        <f t="shared" si="17"/>
        <v>0.6</v>
      </c>
      <c r="AF76" s="6">
        <f t="shared" si="17"/>
        <v>0.6</v>
      </c>
    </row>
    <row r="77" spans="1:32" s="41" customFormat="1" ht="11.25">
      <c r="A77" s="30" t="s">
        <v>112</v>
      </c>
      <c r="F77"/>
      <c r="G77">
        <f t="shared" si="18"/>
        <v>2013</v>
      </c>
      <c r="H77"/>
      <c r="I77" s="91"/>
      <c r="J77" s="6"/>
      <c r="K77" s="6"/>
      <c r="L77" s="6"/>
      <c r="M77" s="6"/>
      <c r="N77" s="6"/>
      <c r="O77" s="6">
        <f>N76</f>
        <v>0.06</v>
      </c>
      <c r="P77" s="6">
        <f>O76</f>
        <v>0.12</v>
      </c>
      <c r="Q77" s="6">
        <f>P76</f>
        <v>0.18</v>
      </c>
      <c r="R77" s="6">
        <f>Q76</f>
        <v>0.24</v>
      </c>
      <c r="S77" s="6">
        <f>R76</f>
        <v>0.3</v>
      </c>
      <c r="T77" s="6">
        <f>S76</f>
        <v>0.36</v>
      </c>
      <c r="U77" s="6">
        <f>T76</f>
        <v>0.42</v>
      </c>
      <c r="V77" s="6">
        <f>U76</f>
        <v>0.48</v>
      </c>
      <c r="W77" s="6">
        <f>V76</f>
        <v>0.54</v>
      </c>
      <c r="X77" s="6">
        <f>W76</f>
        <v>0.6</v>
      </c>
      <c r="Y77" s="6">
        <f>X76</f>
        <v>0.6</v>
      </c>
      <c r="Z77" s="6">
        <f>Y76</f>
        <v>0.6</v>
      </c>
      <c r="AA77" s="6">
        <f t="shared" si="17"/>
        <v>0.6</v>
      </c>
      <c r="AB77" s="6">
        <f t="shared" si="17"/>
        <v>0.6</v>
      </c>
      <c r="AC77" s="6">
        <f t="shared" si="17"/>
        <v>0.6</v>
      </c>
      <c r="AD77" s="6">
        <f t="shared" si="17"/>
        <v>0.6</v>
      </c>
      <c r="AE77" s="6">
        <f t="shared" si="17"/>
        <v>0.6</v>
      </c>
      <c r="AF77" s="6">
        <f t="shared" si="17"/>
        <v>0.6</v>
      </c>
    </row>
    <row r="78" spans="1:32" s="41" customFormat="1" ht="11.25">
      <c r="A78" s="30" t="s">
        <v>112</v>
      </c>
      <c r="F78"/>
      <c r="G78">
        <f t="shared" si="18"/>
        <v>2014</v>
      </c>
      <c r="H78"/>
      <c r="I78" s="91"/>
      <c r="J78" s="6"/>
      <c r="K78" s="6"/>
      <c r="L78" s="6"/>
      <c r="M78" s="6"/>
      <c r="N78" s="6"/>
      <c r="O78" s="6"/>
      <c r="P78" s="6">
        <f>O77</f>
        <v>0.06</v>
      </c>
      <c r="Q78" s="6">
        <f t="shared" si="17"/>
        <v>0.12</v>
      </c>
      <c r="R78" s="6">
        <f t="shared" si="17"/>
        <v>0.18</v>
      </c>
      <c r="S78" s="6">
        <f t="shared" si="17"/>
        <v>0.24</v>
      </c>
      <c r="T78" s="6">
        <f t="shared" si="17"/>
        <v>0.3</v>
      </c>
      <c r="U78" s="6">
        <f t="shared" si="17"/>
        <v>0.36</v>
      </c>
      <c r="V78" s="6">
        <f t="shared" si="17"/>
        <v>0.42</v>
      </c>
      <c r="W78" s="6">
        <f t="shared" si="17"/>
        <v>0.48</v>
      </c>
      <c r="X78" s="6">
        <f t="shared" si="17"/>
        <v>0.54</v>
      </c>
      <c r="Y78" s="6">
        <f t="shared" si="17"/>
        <v>0.6</v>
      </c>
      <c r="Z78" s="6">
        <f t="shared" si="17"/>
        <v>0.6</v>
      </c>
      <c r="AA78" s="6">
        <f t="shared" si="17"/>
        <v>0.6</v>
      </c>
      <c r="AB78" s="6">
        <f t="shared" si="17"/>
        <v>0.6</v>
      </c>
      <c r="AC78" s="6">
        <f t="shared" si="17"/>
        <v>0.6</v>
      </c>
      <c r="AD78" s="6">
        <f t="shared" si="17"/>
        <v>0.6</v>
      </c>
      <c r="AE78" s="6">
        <f t="shared" si="17"/>
        <v>0.6</v>
      </c>
      <c r="AF78" s="6">
        <f t="shared" si="17"/>
        <v>0.6</v>
      </c>
    </row>
    <row r="79" spans="1:32" s="41" customFormat="1" ht="11.25">
      <c r="A79" s="30" t="s">
        <v>112</v>
      </c>
      <c r="F79"/>
      <c r="G79">
        <f t="shared" si="18"/>
        <v>2015</v>
      </c>
      <c r="H79"/>
      <c r="I79" s="91"/>
      <c r="J79" s="6"/>
      <c r="K79" s="6"/>
      <c r="L79" s="6"/>
      <c r="M79" s="6"/>
      <c r="N79" s="6"/>
      <c r="O79" s="6"/>
      <c r="P79" s="6"/>
      <c r="Q79" s="6">
        <f>P78</f>
        <v>0.06</v>
      </c>
      <c r="R79" s="6">
        <f t="shared" si="17"/>
        <v>0.12</v>
      </c>
      <c r="S79" s="6">
        <f t="shared" si="17"/>
        <v>0.18</v>
      </c>
      <c r="T79" s="6">
        <f t="shared" si="17"/>
        <v>0.24</v>
      </c>
      <c r="U79" s="6">
        <f t="shared" si="17"/>
        <v>0.3</v>
      </c>
      <c r="V79" s="6">
        <f t="shared" si="17"/>
        <v>0.36</v>
      </c>
      <c r="W79" s="6">
        <f t="shared" si="17"/>
        <v>0.42</v>
      </c>
      <c r="X79" s="6">
        <f t="shared" si="17"/>
        <v>0.48</v>
      </c>
      <c r="Y79" s="6">
        <f t="shared" si="17"/>
        <v>0.54</v>
      </c>
      <c r="Z79" s="6">
        <f t="shared" si="17"/>
        <v>0.6</v>
      </c>
      <c r="AA79" s="6">
        <f t="shared" si="17"/>
        <v>0.6</v>
      </c>
      <c r="AB79" s="6">
        <f t="shared" si="17"/>
        <v>0.6</v>
      </c>
      <c r="AC79" s="6">
        <f t="shared" si="17"/>
        <v>0.6</v>
      </c>
      <c r="AD79" s="6">
        <f t="shared" si="17"/>
        <v>0.6</v>
      </c>
      <c r="AE79" s="6">
        <f t="shared" si="17"/>
        <v>0.6</v>
      </c>
      <c r="AF79" s="6">
        <f t="shared" si="17"/>
        <v>0.6</v>
      </c>
    </row>
    <row r="80" spans="1:32" s="41" customFormat="1" ht="11.25">
      <c r="A80" s="30" t="s">
        <v>112</v>
      </c>
      <c r="F80"/>
      <c r="G80">
        <f t="shared" si="18"/>
        <v>2016</v>
      </c>
      <c r="H80"/>
      <c r="I80" s="91"/>
      <c r="J80" s="6"/>
      <c r="K80" s="6"/>
      <c r="L80" s="6"/>
      <c r="M80" s="6"/>
      <c r="N80" s="32"/>
      <c r="O80" s="6"/>
      <c r="P80" s="6"/>
      <c r="Q80" s="6"/>
      <c r="R80" s="6">
        <f>Q79</f>
        <v>0.06</v>
      </c>
      <c r="S80" s="6">
        <f t="shared" si="17"/>
        <v>0.12</v>
      </c>
      <c r="T80" s="6">
        <f t="shared" si="17"/>
        <v>0.18</v>
      </c>
      <c r="U80" s="6">
        <f t="shared" si="17"/>
        <v>0.24</v>
      </c>
      <c r="V80" s="6">
        <f t="shared" si="17"/>
        <v>0.3</v>
      </c>
      <c r="W80" s="6">
        <f t="shared" si="17"/>
        <v>0.36</v>
      </c>
      <c r="X80" s="6">
        <f t="shared" si="17"/>
        <v>0.42</v>
      </c>
      <c r="Y80" s="6">
        <f t="shared" si="17"/>
        <v>0.48</v>
      </c>
      <c r="Z80" s="6">
        <f t="shared" si="17"/>
        <v>0.54</v>
      </c>
      <c r="AA80" s="6">
        <f t="shared" si="17"/>
        <v>0.6</v>
      </c>
      <c r="AB80" s="6">
        <f t="shared" si="17"/>
        <v>0.6</v>
      </c>
      <c r="AC80" s="6">
        <f t="shared" si="17"/>
        <v>0.6</v>
      </c>
      <c r="AD80" s="6">
        <f t="shared" si="17"/>
        <v>0.6</v>
      </c>
      <c r="AE80" s="6">
        <f t="shared" si="17"/>
        <v>0.6</v>
      </c>
      <c r="AF80" s="6">
        <f t="shared" si="17"/>
        <v>0.6</v>
      </c>
    </row>
    <row r="81" spans="1:32" s="41" customFormat="1" ht="11.25">
      <c r="A81" s="30" t="s">
        <v>112</v>
      </c>
      <c r="F81"/>
      <c r="G81">
        <f t="shared" si="18"/>
        <v>2017</v>
      </c>
      <c r="H81"/>
      <c r="I81" s="91"/>
      <c r="J81" s="6"/>
      <c r="K81" s="6"/>
      <c r="L81" s="6"/>
      <c r="M81" s="6"/>
      <c r="N81" s="32"/>
      <c r="O81" s="6"/>
      <c r="P81" s="6"/>
      <c r="Q81" s="6"/>
      <c r="R81" s="6"/>
      <c r="S81" s="6">
        <f>R80</f>
        <v>0.06</v>
      </c>
      <c r="T81" s="6">
        <f t="shared" si="17"/>
        <v>0.12</v>
      </c>
      <c r="U81" s="6">
        <f t="shared" si="17"/>
        <v>0.18</v>
      </c>
      <c r="V81" s="6">
        <f t="shared" si="17"/>
        <v>0.24</v>
      </c>
      <c r="W81" s="6">
        <f t="shared" si="17"/>
        <v>0.3</v>
      </c>
      <c r="X81" s="6">
        <f t="shared" si="17"/>
        <v>0.36</v>
      </c>
      <c r="Y81" s="6">
        <f t="shared" si="17"/>
        <v>0.42</v>
      </c>
      <c r="Z81" s="6">
        <f t="shared" si="17"/>
        <v>0.48</v>
      </c>
      <c r="AA81" s="6">
        <f t="shared" si="17"/>
        <v>0.54</v>
      </c>
      <c r="AB81" s="6">
        <f t="shared" si="17"/>
        <v>0.6</v>
      </c>
      <c r="AC81" s="6">
        <f t="shared" si="17"/>
        <v>0.6</v>
      </c>
      <c r="AD81" s="6">
        <f t="shared" si="17"/>
        <v>0.6</v>
      </c>
      <c r="AE81" s="6">
        <f t="shared" si="17"/>
        <v>0.6</v>
      </c>
      <c r="AF81" s="6">
        <f t="shared" si="17"/>
        <v>0.6</v>
      </c>
    </row>
    <row r="82" spans="1:32" s="41" customFormat="1" ht="11.25">
      <c r="A82" s="30" t="s">
        <v>112</v>
      </c>
      <c r="F82"/>
      <c r="G82">
        <f t="shared" si="18"/>
        <v>2018</v>
      </c>
      <c r="H82"/>
      <c r="I82" s="91"/>
      <c r="J82" s="6"/>
      <c r="K82" s="6"/>
      <c r="L82" s="6"/>
      <c r="M82" s="6"/>
      <c r="N82" s="32"/>
      <c r="O82" s="6"/>
      <c r="P82" s="6"/>
      <c r="Q82" s="6"/>
      <c r="R82" s="6"/>
      <c r="S82" s="6"/>
      <c r="T82" s="6">
        <f>S81</f>
        <v>0.06</v>
      </c>
      <c r="U82" s="6">
        <f t="shared" si="17"/>
        <v>0.12</v>
      </c>
      <c r="V82" s="6">
        <f t="shared" si="17"/>
        <v>0.18</v>
      </c>
      <c r="W82" s="6">
        <f t="shared" si="17"/>
        <v>0.24</v>
      </c>
      <c r="X82" s="6">
        <f t="shared" si="17"/>
        <v>0.3</v>
      </c>
      <c r="Y82" s="6">
        <f t="shared" si="17"/>
        <v>0.36</v>
      </c>
      <c r="Z82" s="6">
        <f t="shared" si="17"/>
        <v>0.42</v>
      </c>
      <c r="AA82" s="6">
        <f t="shared" si="17"/>
        <v>0.48</v>
      </c>
      <c r="AB82" s="6">
        <f t="shared" si="17"/>
        <v>0.54</v>
      </c>
      <c r="AC82" s="6">
        <f t="shared" si="17"/>
        <v>0.6</v>
      </c>
      <c r="AD82" s="6">
        <f t="shared" si="17"/>
        <v>0.6</v>
      </c>
      <c r="AE82" s="6">
        <f t="shared" si="17"/>
        <v>0.6</v>
      </c>
      <c r="AF82" s="6">
        <f t="shared" si="17"/>
        <v>0.6</v>
      </c>
    </row>
    <row r="83" spans="1:32" s="41" customFormat="1" ht="11.25">
      <c r="A83" s="30" t="s">
        <v>112</v>
      </c>
      <c r="F83"/>
      <c r="G83">
        <f t="shared" si="18"/>
        <v>2019</v>
      </c>
      <c r="H83"/>
      <c r="I83" s="91"/>
      <c r="J83" s="6"/>
      <c r="K83" s="6"/>
      <c r="L83" s="6"/>
      <c r="M83" s="6"/>
      <c r="N83" s="32"/>
      <c r="O83" s="6"/>
      <c r="P83" s="6"/>
      <c r="Q83" s="6"/>
      <c r="R83" s="6"/>
      <c r="S83" s="6"/>
      <c r="T83" s="6"/>
      <c r="U83" s="6">
        <f>T82</f>
        <v>0.06</v>
      </c>
      <c r="V83" s="6">
        <f t="shared" si="17"/>
        <v>0.12</v>
      </c>
      <c r="W83" s="6">
        <f t="shared" si="17"/>
        <v>0.18</v>
      </c>
      <c r="X83" s="6">
        <f t="shared" si="17"/>
        <v>0.24</v>
      </c>
      <c r="Y83" s="6">
        <f t="shared" si="17"/>
        <v>0.3</v>
      </c>
      <c r="Z83" s="6">
        <f t="shared" si="17"/>
        <v>0.36</v>
      </c>
      <c r="AA83" s="6">
        <f t="shared" si="17"/>
        <v>0.42</v>
      </c>
      <c r="AB83" s="6">
        <f t="shared" si="17"/>
        <v>0.48</v>
      </c>
      <c r="AC83" s="6">
        <f t="shared" si="17"/>
        <v>0.54</v>
      </c>
      <c r="AD83" s="6">
        <f t="shared" si="17"/>
        <v>0.6</v>
      </c>
      <c r="AE83" s="6">
        <f t="shared" si="17"/>
        <v>0.6</v>
      </c>
      <c r="AF83" s="6">
        <f t="shared" si="17"/>
        <v>0.6</v>
      </c>
    </row>
    <row r="84" spans="1:32" s="41" customFormat="1" ht="11.25">
      <c r="A84" s="30" t="s">
        <v>112</v>
      </c>
      <c r="F84"/>
      <c r="G84">
        <f t="shared" si="18"/>
        <v>2020</v>
      </c>
      <c r="H84"/>
      <c r="I84" s="91"/>
      <c r="J84" s="6"/>
      <c r="K84" s="6"/>
      <c r="L84" s="6"/>
      <c r="M84" s="6"/>
      <c r="N84" s="32"/>
      <c r="O84" s="6"/>
      <c r="P84" s="6"/>
      <c r="Q84" s="6"/>
      <c r="R84" s="6"/>
      <c r="S84" s="6"/>
      <c r="T84" s="6"/>
      <c r="U84" s="6"/>
      <c r="V84" s="6">
        <f>U83</f>
        <v>0.06</v>
      </c>
      <c r="W84" s="6">
        <f t="shared" si="17"/>
        <v>0.12</v>
      </c>
      <c r="X84" s="6">
        <f t="shared" si="17"/>
        <v>0.18</v>
      </c>
      <c r="Y84" s="6">
        <f t="shared" si="17"/>
        <v>0.24</v>
      </c>
      <c r="Z84" s="6">
        <f t="shared" si="17"/>
        <v>0.3</v>
      </c>
      <c r="AA84" s="6">
        <f t="shared" si="17"/>
        <v>0.36</v>
      </c>
      <c r="AB84" s="6">
        <f t="shared" si="17"/>
        <v>0.42</v>
      </c>
      <c r="AC84" s="6">
        <f t="shared" si="17"/>
        <v>0.48</v>
      </c>
      <c r="AD84" s="6">
        <f t="shared" si="17"/>
        <v>0.54</v>
      </c>
      <c r="AE84" s="6">
        <f t="shared" si="17"/>
        <v>0.6</v>
      </c>
      <c r="AF84" s="6">
        <f t="shared" si="17"/>
        <v>0.6</v>
      </c>
    </row>
    <row r="85" spans="1:32" s="41" customFormat="1" ht="11.25">
      <c r="A85" s="30" t="s">
        <v>112</v>
      </c>
      <c r="F85"/>
      <c r="G85">
        <f t="shared" si="18"/>
        <v>2021</v>
      </c>
      <c r="H85"/>
      <c r="I85" s="91"/>
      <c r="J85" s="6"/>
      <c r="K85" s="6"/>
      <c r="L85" s="6"/>
      <c r="M85" s="6"/>
      <c r="N85" s="32"/>
      <c r="O85" s="6"/>
      <c r="P85" s="6"/>
      <c r="Q85" s="6"/>
      <c r="R85" s="6"/>
      <c r="S85" s="6"/>
      <c r="T85" s="6"/>
      <c r="U85" s="6"/>
      <c r="V85" s="6"/>
      <c r="W85" s="6">
        <f t="shared" si="17"/>
        <v>0.06</v>
      </c>
      <c r="X85" s="6">
        <f t="shared" si="17"/>
        <v>0.12</v>
      </c>
      <c r="Y85" s="6">
        <f t="shared" si="17"/>
        <v>0.18</v>
      </c>
      <c r="Z85" s="6">
        <f t="shared" si="17"/>
        <v>0.24</v>
      </c>
      <c r="AA85" s="6">
        <f t="shared" si="17"/>
        <v>0.3</v>
      </c>
      <c r="AB85" s="6">
        <f t="shared" si="17"/>
        <v>0.36</v>
      </c>
      <c r="AC85" s="6">
        <f t="shared" si="17"/>
        <v>0.42</v>
      </c>
      <c r="AD85" s="6">
        <f t="shared" si="17"/>
        <v>0.48</v>
      </c>
      <c r="AE85" s="6">
        <f t="shared" si="17"/>
        <v>0.54</v>
      </c>
      <c r="AF85" s="6">
        <f t="shared" si="17"/>
        <v>0.6</v>
      </c>
    </row>
    <row r="86" spans="1:32" s="41" customFormat="1" ht="11.25">
      <c r="A86" s="30" t="s">
        <v>112</v>
      </c>
      <c r="F86"/>
      <c r="G86">
        <f t="shared" si="18"/>
        <v>2022</v>
      </c>
      <c r="H86"/>
      <c r="I86" s="91"/>
      <c r="J86" s="6"/>
      <c r="K86" s="6"/>
      <c r="L86" s="6"/>
      <c r="M86" s="6"/>
      <c r="N86" s="32"/>
      <c r="O86" s="6"/>
      <c r="P86" s="6"/>
      <c r="Q86" s="6"/>
      <c r="R86" s="6"/>
      <c r="S86" s="6"/>
      <c r="T86" s="6"/>
      <c r="U86" s="6"/>
      <c r="V86" s="6"/>
      <c r="W86" s="6"/>
      <c r="X86" s="6">
        <f t="shared" si="17"/>
        <v>0.06</v>
      </c>
      <c r="Y86" s="6">
        <f t="shared" si="17"/>
        <v>0.12</v>
      </c>
      <c r="Z86" s="6">
        <f t="shared" si="17"/>
        <v>0.18</v>
      </c>
      <c r="AA86" s="6">
        <f t="shared" si="17"/>
        <v>0.24</v>
      </c>
      <c r="AB86" s="6">
        <f t="shared" si="17"/>
        <v>0.3</v>
      </c>
      <c r="AC86" s="6">
        <f t="shared" si="17"/>
        <v>0.36</v>
      </c>
      <c r="AD86" s="6">
        <f t="shared" si="17"/>
        <v>0.42</v>
      </c>
      <c r="AE86" s="6">
        <f t="shared" si="17"/>
        <v>0.48</v>
      </c>
      <c r="AF86" s="6">
        <f t="shared" si="17"/>
        <v>0.54</v>
      </c>
    </row>
    <row r="87" spans="1:32" s="41" customFormat="1" ht="11.25">
      <c r="A87" s="30" t="s">
        <v>112</v>
      </c>
      <c r="F87"/>
      <c r="G87">
        <f t="shared" si="18"/>
        <v>2023</v>
      </c>
      <c r="H87"/>
      <c r="I87" s="91"/>
      <c r="J87" s="6"/>
      <c r="K87" s="6"/>
      <c r="L87" s="6"/>
      <c r="M87" s="6"/>
      <c r="N87" s="32"/>
      <c r="O87" s="6"/>
      <c r="P87" s="6"/>
      <c r="Q87" s="6"/>
      <c r="R87" s="6"/>
      <c r="S87" s="6"/>
      <c r="T87" s="6"/>
      <c r="U87" s="6"/>
      <c r="V87" s="6"/>
      <c r="W87" s="6"/>
      <c r="X87" s="6"/>
      <c r="Y87" s="6">
        <f>X86</f>
        <v>0.06</v>
      </c>
      <c r="Z87" s="6">
        <f t="shared" si="17"/>
        <v>0.12</v>
      </c>
      <c r="AA87" s="6">
        <f t="shared" si="17"/>
        <v>0.18</v>
      </c>
      <c r="AB87" s="6">
        <f t="shared" si="17"/>
        <v>0.24</v>
      </c>
      <c r="AC87" s="6">
        <f t="shared" si="17"/>
        <v>0.3</v>
      </c>
      <c r="AD87" s="6">
        <f t="shared" si="17"/>
        <v>0.36</v>
      </c>
      <c r="AE87" s="6">
        <f t="shared" si="17"/>
        <v>0.42</v>
      </c>
      <c r="AF87" s="6">
        <f t="shared" si="17"/>
        <v>0.48</v>
      </c>
    </row>
    <row r="88" spans="1:32" s="41" customFormat="1" ht="11.25">
      <c r="A88" s="30" t="s">
        <v>112</v>
      </c>
      <c r="F88"/>
      <c r="G88">
        <f t="shared" si="18"/>
        <v>2024</v>
      </c>
      <c r="H88" s="6"/>
      <c r="I88" s="91"/>
      <c r="J88" s="6"/>
      <c r="K88" s="6"/>
      <c r="L88" s="6"/>
      <c r="M88" s="6"/>
      <c r="N88" s="32"/>
      <c r="O88" s="6"/>
      <c r="P88" s="6"/>
      <c r="Q88" s="6"/>
      <c r="R88" s="6"/>
      <c r="S88" s="6"/>
      <c r="T88" s="6"/>
      <c r="U88" s="6"/>
      <c r="V88" s="6"/>
      <c r="W88" s="6"/>
      <c r="X88" s="6"/>
      <c r="Y88" s="6"/>
      <c r="Z88" s="6">
        <f>Y87</f>
        <v>0.06</v>
      </c>
      <c r="AA88" s="6">
        <f t="shared" si="17"/>
        <v>0.12</v>
      </c>
      <c r="AB88" s="6">
        <f t="shared" si="17"/>
        <v>0.18</v>
      </c>
      <c r="AC88" s="6">
        <f t="shared" si="17"/>
        <v>0.24</v>
      </c>
      <c r="AD88" s="6">
        <f t="shared" si="17"/>
        <v>0.3</v>
      </c>
      <c r="AE88" s="6">
        <f t="shared" si="17"/>
        <v>0.36</v>
      </c>
      <c r="AF88" s="6">
        <f t="shared" si="17"/>
        <v>0.42</v>
      </c>
    </row>
    <row r="89" spans="1:32" s="41" customFormat="1" ht="11.25">
      <c r="A89" s="30" t="s">
        <v>112</v>
      </c>
      <c r="F89"/>
      <c r="G89">
        <f t="shared" si="18"/>
        <v>2025</v>
      </c>
      <c r="H89" s="6"/>
      <c r="I89" s="33"/>
      <c r="J89" s="6"/>
      <c r="K89" s="6"/>
      <c r="L89" s="6"/>
      <c r="M89" s="6"/>
      <c r="N89" s="32"/>
      <c r="O89" s="6"/>
      <c r="P89" s="6"/>
      <c r="Q89" s="6"/>
      <c r="R89" s="6"/>
      <c r="S89" s="6"/>
      <c r="T89" s="6"/>
      <c r="U89" s="6"/>
      <c r="V89" s="6"/>
      <c r="W89" s="6"/>
      <c r="X89" s="6"/>
      <c r="Y89" s="6"/>
      <c r="Z89" s="6"/>
      <c r="AA89" s="6">
        <f>Z88</f>
        <v>0.06</v>
      </c>
      <c r="AB89" s="6">
        <f>AA88</f>
        <v>0.12</v>
      </c>
      <c r="AC89" s="6">
        <f>AB88</f>
        <v>0.18</v>
      </c>
      <c r="AD89" s="6">
        <f>AC88</f>
        <v>0.24</v>
      </c>
      <c r="AE89" s="6">
        <f>AD88</f>
        <v>0.3</v>
      </c>
      <c r="AF89" s="6">
        <f>AE88</f>
        <v>0.36</v>
      </c>
    </row>
    <row r="90" spans="1:32" s="41" customFormat="1" ht="11.25">
      <c r="A90" s="30" t="s">
        <v>112</v>
      </c>
      <c r="F90"/>
      <c r="G90">
        <f t="shared" si="18"/>
        <v>2026</v>
      </c>
      <c r="H90" s="6"/>
      <c r="I90" s="33"/>
      <c r="J90" s="6"/>
      <c r="K90" s="6"/>
      <c r="L90" s="6"/>
      <c r="M90" s="6"/>
      <c r="N90" s="32"/>
      <c r="O90" s="6"/>
      <c r="P90" s="6"/>
      <c r="Q90" s="6"/>
      <c r="R90" s="6"/>
      <c r="S90" s="6"/>
      <c r="T90" s="6"/>
      <c r="U90" s="6"/>
      <c r="V90" s="6"/>
      <c r="W90" s="6"/>
      <c r="X90" s="6"/>
      <c r="Y90" s="6"/>
      <c r="Z90" s="6"/>
      <c r="AA90" s="6"/>
      <c r="AB90" s="6">
        <f>AA89</f>
        <v>0.06</v>
      </c>
      <c r="AC90" s="6">
        <f>AB89</f>
        <v>0.12</v>
      </c>
      <c r="AD90" s="6">
        <f>AC89</f>
        <v>0.18</v>
      </c>
      <c r="AE90" s="6">
        <f>AD89</f>
        <v>0.24</v>
      </c>
      <c r="AF90" s="6">
        <f>AE89</f>
        <v>0.3</v>
      </c>
    </row>
    <row r="91" spans="1:32" s="41" customFormat="1" ht="11.25">
      <c r="A91" s="30" t="s">
        <v>112</v>
      </c>
      <c r="F91"/>
      <c r="G91">
        <f t="shared" si="18"/>
        <v>2027</v>
      </c>
      <c r="H91" s="6"/>
      <c r="I91" s="33"/>
      <c r="J91" s="6"/>
      <c r="K91" s="6"/>
      <c r="L91" s="6"/>
      <c r="M91" s="6"/>
      <c r="N91" s="32"/>
      <c r="O91" s="6"/>
      <c r="P91" s="6"/>
      <c r="Q91" s="6"/>
      <c r="R91" s="6"/>
      <c r="S91" s="6"/>
      <c r="T91" s="6"/>
      <c r="U91" s="6"/>
      <c r="V91" s="6"/>
      <c r="W91" s="6"/>
      <c r="X91" s="6"/>
      <c r="Y91" s="6"/>
      <c r="Z91" s="6"/>
      <c r="AA91" s="6"/>
      <c r="AB91" s="6"/>
      <c r="AC91" s="6">
        <f>AB90</f>
        <v>0.06</v>
      </c>
      <c r="AD91" s="6">
        <f>AC90</f>
        <v>0.12</v>
      </c>
      <c r="AE91" s="6">
        <f>AD90</f>
        <v>0.18</v>
      </c>
      <c r="AF91" s="6">
        <f>AE90</f>
        <v>0.24</v>
      </c>
    </row>
    <row r="92" spans="1:32" s="41" customFormat="1" ht="11.25">
      <c r="A92" s="30" t="s">
        <v>112</v>
      </c>
      <c r="F92"/>
      <c r="G92">
        <f t="shared" si="18"/>
        <v>2028</v>
      </c>
      <c r="H92" s="6"/>
      <c r="I92" s="33"/>
      <c r="J92" s="6"/>
      <c r="K92" s="6"/>
      <c r="L92" s="6"/>
      <c r="M92" s="6"/>
      <c r="N92" s="32"/>
      <c r="O92" s="6"/>
      <c r="P92" s="6"/>
      <c r="Q92" s="6"/>
      <c r="R92" s="6"/>
      <c r="S92" s="6"/>
      <c r="T92" s="6"/>
      <c r="U92" s="6"/>
      <c r="V92" s="6"/>
      <c r="W92" s="6"/>
      <c r="X92" s="6"/>
      <c r="Y92" s="6"/>
      <c r="Z92" s="6"/>
      <c r="AA92" s="6"/>
      <c r="AB92" s="6"/>
      <c r="AC92" s="6"/>
      <c r="AD92" s="6">
        <f>AC91</f>
        <v>0.06</v>
      </c>
      <c r="AE92" s="6">
        <f>AD91</f>
        <v>0.12</v>
      </c>
      <c r="AF92" s="6">
        <f>AE91</f>
        <v>0.18</v>
      </c>
    </row>
    <row r="93" spans="1:32" s="41" customFormat="1" ht="11.25">
      <c r="A93" s="30" t="s">
        <v>112</v>
      </c>
      <c r="F93"/>
      <c r="G93">
        <f t="shared" si="18"/>
        <v>2029</v>
      </c>
      <c r="H93" s="6"/>
      <c r="I93" s="33"/>
      <c r="J93" s="6"/>
      <c r="K93" s="6"/>
      <c r="L93" s="6"/>
      <c r="M93" s="6"/>
      <c r="N93" s="32"/>
      <c r="O93" s="6"/>
      <c r="P93" s="6"/>
      <c r="Q93" s="6"/>
      <c r="R93" s="6"/>
      <c r="S93" s="6"/>
      <c r="T93" s="6"/>
      <c r="U93" s="6"/>
      <c r="V93" s="6"/>
      <c r="W93" s="6"/>
      <c r="X93" s="6"/>
      <c r="Y93" s="6"/>
      <c r="Z93" s="6"/>
      <c r="AA93" s="6"/>
      <c r="AB93" s="6"/>
      <c r="AC93" s="6"/>
      <c r="AD93" s="6"/>
      <c r="AE93" s="6">
        <f>AD92</f>
        <v>0.06</v>
      </c>
      <c r="AF93" s="6">
        <f>AE92</f>
        <v>0.12</v>
      </c>
    </row>
    <row r="94" spans="1:32" s="41" customFormat="1" ht="11.25">
      <c r="A94" s="30" t="s">
        <v>112</v>
      </c>
      <c r="F94"/>
      <c r="G94">
        <f t="shared" si="18"/>
        <v>2030</v>
      </c>
      <c r="H94" s="6"/>
      <c r="I94" s="33"/>
      <c r="J94" s="6"/>
      <c r="K94" s="6"/>
      <c r="L94" s="6"/>
      <c r="M94" s="6"/>
      <c r="N94" s="32"/>
      <c r="O94" s="6"/>
      <c r="P94" s="6"/>
      <c r="Q94" s="6"/>
      <c r="R94" s="6"/>
      <c r="S94" s="6"/>
      <c r="T94" s="6"/>
      <c r="U94" s="6"/>
      <c r="V94" s="6"/>
      <c r="W94" s="6"/>
      <c r="X94" s="6"/>
      <c r="Y94" s="6"/>
      <c r="Z94" s="6"/>
      <c r="AA94" s="6"/>
      <c r="AB94" s="6"/>
      <c r="AC94" s="6"/>
      <c r="AD94" s="6"/>
      <c r="AE94" s="6"/>
      <c r="AF94" s="6">
        <f>AE93</f>
        <v>0.06</v>
      </c>
    </row>
    <row r="95" spans="1:9" s="41" customFormat="1" ht="11.25">
      <c r="A95" s="43"/>
      <c r="H95"/>
      <c r="I95" s="33"/>
    </row>
    <row r="96" spans="1:32" s="42" customFormat="1" ht="11.25">
      <c r="A96" s="44" t="s">
        <v>278</v>
      </c>
      <c r="F96"/>
      <c r="G96">
        <f>G72</f>
        <v>2008</v>
      </c>
      <c r="H96"/>
      <c r="I96" s="33"/>
      <c r="J96" s="16">
        <f aca="true" t="shared" si="19" ref="J96:AF96">(1+$J$61)^(-J72)</f>
        <v>0.9967506951507948</v>
      </c>
      <c r="K96" s="16">
        <f t="shared" si="19"/>
        <v>0.993511948283593</v>
      </c>
      <c r="L96" s="16">
        <f t="shared" si="19"/>
        <v>0.9902837250922921</v>
      </c>
      <c r="M96" s="16">
        <f t="shared" si="19"/>
        <v>0.9870659913822609</v>
      </c>
      <c r="N96" s="16">
        <f t="shared" si="19"/>
        <v>0.9838587130699773</v>
      </c>
      <c r="O96" s="16">
        <f t="shared" si="19"/>
        <v>0.9806618561826662</v>
      </c>
      <c r="P96" s="16">
        <f t="shared" si="19"/>
        <v>0.9774753868579417</v>
      </c>
      <c r="Q96" s="16">
        <f t="shared" si="19"/>
        <v>0.9742992713434455</v>
      </c>
      <c r="R96" s="16">
        <f t="shared" si="19"/>
        <v>0.9711334759964924</v>
      </c>
      <c r="S96" s="16">
        <f t="shared" si="19"/>
        <v>0.9679779672837115</v>
      </c>
      <c r="T96" s="16">
        <f t="shared" si="19"/>
        <v>0.9679779672837115</v>
      </c>
      <c r="U96" s="16">
        <f t="shared" si="19"/>
        <v>0.9679779672837115</v>
      </c>
      <c r="V96" s="16">
        <f t="shared" si="19"/>
        <v>0.9679779672837115</v>
      </c>
      <c r="W96" s="16">
        <f t="shared" si="19"/>
        <v>0.9679779672837115</v>
      </c>
      <c r="X96" s="16">
        <f t="shared" si="19"/>
        <v>0.9679779672837115</v>
      </c>
      <c r="Y96" s="16">
        <f t="shared" si="19"/>
        <v>0.9679779672837115</v>
      </c>
      <c r="Z96" s="16">
        <f t="shared" si="19"/>
        <v>0.9679779672837115</v>
      </c>
      <c r="AA96" s="16">
        <f t="shared" si="19"/>
        <v>0.9679779672837115</v>
      </c>
      <c r="AB96" s="16">
        <f t="shared" si="19"/>
        <v>0.9679779672837115</v>
      </c>
      <c r="AC96" s="16">
        <f t="shared" si="19"/>
        <v>0.9679779672837115</v>
      </c>
      <c r="AD96" s="16">
        <f t="shared" si="19"/>
        <v>0.9679779672837115</v>
      </c>
      <c r="AE96" s="16">
        <f t="shared" si="19"/>
        <v>0.9679779672837115</v>
      </c>
      <c r="AF96" s="16">
        <f t="shared" si="19"/>
        <v>0.9679779672837115</v>
      </c>
    </row>
    <row r="97" spans="1:32" ht="11.25">
      <c r="A97" s="44" t="s">
        <v>278</v>
      </c>
      <c r="B97" s="44"/>
      <c r="G97">
        <f aca="true" t="shared" si="20" ref="G97:G118">G73</f>
        <v>2009</v>
      </c>
      <c r="J97" s="16">
        <f>(1+$J$61)^(-J73)</f>
        <v>1</v>
      </c>
      <c r="K97" s="16">
        <f>(1+$K$61)^(-K73)</f>
        <v>0.996918393568021</v>
      </c>
      <c r="L97" s="16">
        <f>(1+$K$61)^(-L73)</f>
        <v>0.9938462834342434</v>
      </c>
      <c r="M97" s="16">
        <f>(1+$K$61)^(-M73)</f>
        <v>0.9907836403348141</v>
      </c>
      <c r="N97" s="16">
        <f>(1+$K$61)^(-N73)</f>
        <v>0.9877304350960587</v>
      </c>
      <c r="O97" s="16">
        <f>(1+$K$61)^(-O73)</f>
        <v>0.9846866386342051</v>
      </c>
      <c r="P97" s="16">
        <f aca="true" t="shared" si="21" ref="P97:AF97">(1+$K$61)^(-P73)</f>
        <v>0.9816522219551062</v>
      </c>
      <c r="Q97" s="16">
        <f t="shared" si="21"/>
        <v>0.9786271561539628</v>
      </c>
      <c r="R97" s="16">
        <f t="shared" si="21"/>
        <v>0.9756114124150492</v>
      </c>
      <c r="S97" s="16">
        <f t="shared" si="21"/>
        <v>0.9726049620114389</v>
      </c>
      <c r="T97" s="16">
        <f t="shared" si="21"/>
        <v>0.9696077763047298</v>
      </c>
      <c r="U97" s="16">
        <f t="shared" si="21"/>
        <v>0.9696077763047298</v>
      </c>
      <c r="V97" s="16">
        <f t="shared" si="21"/>
        <v>0.9696077763047298</v>
      </c>
      <c r="W97" s="16">
        <f t="shared" si="21"/>
        <v>0.9696077763047298</v>
      </c>
      <c r="X97" s="16">
        <f t="shared" si="21"/>
        <v>0.9696077763047298</v>
      </c>
      <c r="Y97" s="16">
        <f t="shared" si="21"/>
        <v>0.9696077763047298</v>
      </c>
      <c r="Z97" s="16">
        <f t="shared" si="21"/>
        <v>0.9696077763047298</v>
      </c>
      <c r="AA97" s="16">
        <f t="shared" si="21"/>
        <v>0.9696077763047298</v>
      </c>
      <c r="AB97" s="16">
        <f t="shared" si="21"/>
        <v>0.9696077763047298</v>
      </c>
      <c r="AC97" s="16">
        <f t="shared" si="21"/>
        <v>0.9696077763047298</v>
      </c>
      <c r="AD97" s="16">
        <f t="shared" si="21"/>
        <v>0.9696077763047298</v>
      </c>
      <c r="AE97" s="16">
        <f t="shared" si="21"/>
        <v>0.9696077763047298</v>
      </c>
      <c r="AF97" s="16">
        <f t="shared" si="21"/>
        <v>0.9696077763047298</v>
      </c>
    </row>
    <row r="98" spans="1:33" ht="11.25">
      <c r="A98" s="44" t="s">
        <v>278</v>
      </c>
      <c r="B98" s="44"/>
      <c r="G98">
        <f t="shared" si="20"/>
        <v>2010</v>
      </c>
      <c r="H98" s="3"/>
      <c r="I98" s="79"/>
      <c r="J98" s="16">
        <f aca="true" t="shared" si="22" ref="J98:J118">(1+$J$61)^(-J74)</f>
        <v>1</v>
      </c>
      <c r="K98" s="16">
        <f aca="true" t="shared" si="23" ref="K98:K118">(1+$K$61)^(-K74)</f>
        <v>1</v>
      </c>
      <c r="L98" s="17">
        <f>(1+$L$61)^(-L74)</f>
        <v>0.9970696630901428</v>
      </c>
      <c r="M98" s="17">
        <f>(1+$L$61)^(-M74)</f>
        <v>0.9941479130546909</v>
      </c>
      <c r="N98" s="17">
        <f>(1+$L$61)^(-N74)</f>
        <v>0.9912347247312092</v>
      </c>
      <c r="O98" s="17">
        <f>(1+$L$61)^(-O74)</f>
        <v>0.9883300730309971</v>
      </c>
      <c r="P98" s="17">
        <f>(1+$L$61)^(-P74)</f>
        <v>0.9854339329388725</v>
      </c>
      <c r="Q98" s="17">
        <f>(1+$L$61)^(-Q74)</f>
        <v>0.9825462795129559</v>
      </c>
      <c r="R98" s="17">
        <f>(1+$L$61)^(-R74)</f>
        <v>0.9796670878844563</v>
      </c>
      <c r="S98" s="17">
        <f>(1+$L$61)^(-S74)</f>
        <v>0.9767963332574561</v>
      </c>
      <c r="T98" s="17">
        <f>(1+$L$61)^(-T74)</f>
        <v>0.9739339909086986</v>
      </c>
      <c r="U98" s="17">
        <f>(1+$L$61)^(-U74)</f>
        <v>0.9710800361873743</v>
      </c>
      <c r="V98" s="17">
        <f>(1+$L$61)^(-V74)</f>
        <v>0.9710800361873743</v>
      </c>
      <c r="W98" s="17">
        <f>(1+$L$61)^(-W74)</f>
        <v>0.9710800361873743</v>
      </c>
      <c r="X98" s="17">
        <f>(1+$L$61)^(-X74)</f>
        <v>0.9710800361873743</v>
      </c>
      <c r="Y98" s="17">
        <f>(1+$L$61)^(-Y74)</f>
        <v>0.9710800361873743</v>
      </c>
      <c r="Z98" s="17">
        <f>(1+$L$61)^(-Z74)</f>
        <v>0.9710800361873743</v>
      </c>
      <c r="AA98" s="17">
        <f>(1+$L$61)^(-AA74)</f>
        <v>0.9710800361873743</v>
      </c>
      <c r="AB98" s="17">
        <f>(1+$L$61)^(-AB74)</f>
        <v>0.9710800361873743</v>
      </c>
      <c r="AC98" s="17">
        <f>(1+$L$61)^(-AC74)</f>
        <v>0.9710800361873743</v>
      </c>
      <c r="AD98" s="17">
        <f>(1+$L$61)^(-AD74)</f>
        <v>0.9710800361873743</v>
      </c>
      <c r="AE98" s="17">
        <f>(1+$L$61)^(-AE74)</f>
        <v>0.9710800361873743</v>
      </c>
      <c r="AF98" s="17">
        <f>(1+$L$61)^(-AF74)</f>
        <v>0.9710800361873743</v>
      </c>
      <c r="AG98" s="17"/>
    </row>
    <row r="99" spans="1:32" ht="11.25">
      <c r="A99" s="44" t="s">
        <v>278</v>
      </c>
      <c r="B99" s="44"/>
      <c r="G99">
        <f t="shared" si="20"/>
        <v>2011</v>
      </c>
      <c r="H99" s="3"/>
      <c r="I99" s="79"/>
      <c r="J99" s="16">
        <f t="shared" si="22"/>
        <v>1</v>
      </c>
      <c r="K99" s="16">
        <f t="shared" si="23"/>
        <v>1</v>
      </c>
      <c r="L99" s="17">
        <f>(1+$L$61)^(-L75)</f>
        <v>1</v>
      </c>
      <c r="M99" s="17">
        <f>(1+$M$61)^(-M75)</f>
        <v>0.9972068055926144</v>
      </c>
      <c r="N99" s="17">
        <f>(1+$M$61)^(-N75)</f>
        <v>0.9944214131202265</v>
      </c>
      <c r="O99" s="17">
        <f aca="true" t="shared" si="24" ref="O99:AF99">(1+$M$61)^(-O75)</f>
        <v>0.9916438007905146</v>
      </c>
      <c r="P99" s="17">
        <f t="shared" si="24"/>
        <v>0.988873946872028</v>
      </c>
      <c r="Q99" s="17">
        <f t="shared" si="24"/>
        <v>0.9861118296940156</v>
      </c>
      <c r="R99" s="17">
        <f t="shared" si="24"/>
        <v>0.9833574276462577</v>
      </c>
      <c r="S99" s="17">
        <f t="shared" si="24"/>
        <v>0.9806107191788949</v>
      </c>
      <c r="T99" s="17">
        <f t="shared" si="24"/>
        <v>0.9778716828022621</v>
      </c>
      <c r="U99" s="17">
        <f t="shared" si="24"/>
        <v>0.9751402970867181</v>
      </c>
      <c r="V99" s="17">
        <f t="shared" si="24"/>
        <v>0.9724165406624793</v>
      </c>
      <c r="W99" s="17">
        <f t="shared" si="24"/>
        <v>0.9724165406624793</v>
      </c>
      <c r="X99" s="17">
        <f t="shared" si="24"/>
        <v>0.9724165406624793</v>
      </c>
      <c r="Y99" s="17">
        <f t="shared" si="24"/>
        <v>0.9724165406624793</v>
      </c>
      <c r="Z99" s="17">
        <f t="shared" si="24"/>
        <v>0.9724165406624793</v>
      </c>
      <c r="AA99" s="17">
        <f t="shared" si="24"/>
        <v>0.9724165406624793</v>
      </c>
      <c r="AB99" s="17">
        <f t="shared" si="24"/>
        <v>0.9724165406624793</v>
      </c>
      <c r="AC99" s="17">
        <f t="shared" si="24"/>
        <v>0.9724165406624793</v>
      </c>
      <c r="AD99" s="17">
        <f t="shared" si="24"/>
        <v>0.9724165406624793</v>
      </c>
      <c r="AE99" s="17">
        <f t="shared" si="24"/>
        <v>0.9724165406624793</v>
      </c>
      <c r="AF99" s="17">
        <f t="shared" si="24"/>
        <v>0.9724165406624793</v>
      </c>
    </row>
    <row r="100" spans="1:32" ht="11.25">
      <c r="A100" s="44" t="s">
        <v>278</v>
      </c>
      <c r="B100" s="44"/>
      <c r="G100">
        <f t="shared" si="20"/>
        <v>2012</v>
      </c>
      <c r="H100" s="3"/>
      <c r="I100" s="79"/>
      <c r="J100" s="16">
        <f t="shared" si="22"/>
        <v>1</v>
      </c>
      <c r="K100" s="16">
        <f t="shared" si="23"/>
        <v>1</v>
      </c>
      <c r="L100" s="17">
        <f>(1+$L$61)^(-L76)</f>
        <v>1</v>
      </c>
      <c r="M100" s="17">
        <f aca="true" t="shared" si="25" ref="M100:M118">(1+$M$61)^(-M76)</f>
        <v>1</v>
      </c>
      <c r="N100" s="17">
        <f>(1+$N$61)^(-N76)</f>
        <v>0.9973317120450096</v>
      </c>
      <c r="O100" s="17">
        <f aca="true" t="shared" si="26" ref="O100:AF100">(1+$N$61)^(-O76)</f>
        <v>0.9946705438506301</v>
      </c>
      <c r="P100" s="17">
        <f t="shared" si="26"/>
        <v>0.9920164764192898</v>
      </c>
      <c r="Q100" s="17">
        <f t="shared" si="26"/>
        <v>0.9893694908041083</v>
      </c>
      <c r="R100" s="17">
        <f t="shared" si="26"/>
        <v>0.9867295681087609</v>
      </c>
      <c r="S100" s="17">
        <f t="shared" si="26"/>
        <v>0.9840966894873434</v>
      </c>
      <c r="T100" s="17">
        <f t="shared" si="26"/>
        <v>0.9814708361442385</v>
      </c>
      <c r="U100" s="17">
        <f t="shared" si="26"/>
        <v>0.9788519893339805</v>
      </c>
      <c r="V100" s="17">
        <f t="shared" si="26"/>
        <v>0.9762401303611223</v>
      </c>
      <c r="W100" s="17">
        <f t="shared" si="26"/>
        <v>0.9736352405801018</v>
      </c>
      <c r="X100" s="17">
        <f t="shared" si="26"/>
        <v>0.9736352405801018</v>
      </c>
      <c r="Y100" s="17">
        <f t="shared" si="26"/>
        <v>0.9736352405801018</v>
      </c>
      <c r="Z100" s="17">
        <f t="shared" si="26"/>
        <v>0.9736352405801018</v>
      </c>
      <c r="AA100" s="17">
        <f t="shared" si="26"/>
        <v>0.9736352405801018</v>
      </c>
      <c r="AB100" s="17">
        <f t="shared" si="26"/>
        <v>0.9736352405801018</v>
      </c>
      <c r="AC100" s="17">
        <f t="shared" si="26"/>
        <v>0.9736352405801018</v>
      </c>
      <c r="AD100" s="17">
        <f t="shared" si="26"/>
        <v>0.9736352405801018</v>
      </c>
      <c r="AE100" s="17">
        <f t="shared" si="26"/>
        <v>0.9736352405801018</v>
      </c>
      <c r="AF100" s="17">
        <f t="shared" si="26"/>
        <v>0.9736352405801018</v>
      </c>
    </row>
    <row r="101" spans="1:32" ht="11.25">
      <c r="A101" s="44" t="s">
        <v>278</v>
      </c>
      <c r="B101" s="44"/>
      <c r="G101">
        <f t="shared" si="20"/>
        <v>2013</v>
      </c>
      <c r="H101" s="3"/>
      <c r="I101" s="79"/>
      <c r="J101" s="16">
        <f t="shared" si="22"/>
        <v>1</v>
      </c>
      <c r="K101" s="16">
        <f t="shared" si="23"/>
        <v>1</v>
      </c>
      <c r="L101" s="17">
        <f>(1+$L$61)^(-L77)</f>
        <v>1</v>
      </c>
      <c r="M101" s="17">
        <f t="shared" si="25"/>
        <v>1</v>
      </c>
      <c r="N101" s="17">
        <f aca="true" t="shared" si="27" ref="N101:N118">(1+$N$61)^(-N77)</f>
        <v>1</v>
      </c>
      <c r="O101" s="17">
        <f>(1+$O$61)^(-O77)</f>
        <v>0.9974459502954922</v>
      </c>
      <c r="P101" s="17">
        <f aca="true" t="shared" si="28" ref="P101:AF101">(1+$O$61)^(-P77)</f>
        <v>0.9948984237608772</v>
      </c>
      <c r="Q101" s="17">
        <f t="shared" si="28"/>
        <v>0.9923574037356555</v>
      </c>
      <c r="R101" s="17">
        <f t="shared" si="28"/>
        <v>0.9898228736018784</v>
      </c>
      <c r="S101" s="17">
        <f t="shared" si="28"/>
        <v>0.9872948167840404</v>
      </c>
      <c r="T101" s="17">
        <f t="shared" si="28"/>
        <v>0.984773216748971</v>
      </c>
      <c r="U101" s="17">
        <f t="shared" si="28"/>
        <v>0.982258057005726</v>
      </c>
      <c r="V101" s="17">
        <f t="shared" si="28"/>
        <v>0.97974932110548</v>
      </c>
      <c r="W101" s="17">
        <f t="shared" si="28"/>
        <v>0.9772469926414189</v>
      </c>
      <c r="X101" s="17">
        <f t="shared" si="28"/>
        <v>0.9747510552486318</v>
      </c>
      <c r="Y101" s="17">
        <f t="shared" si="28"/>
        <v>0.9747510552486318</v>
      </c>
      <c r="Z101" s="17">
        <f t="shared" si="28"/>
        <v>0.9747510552486318</v>
      </c>
      <c r="AA101" s="17">
        <f t="shared" si="28"/>
        <v>0.9747510552486318</v>
      </c>
      <c r="AB101" s="17">
        <f t="shared" si="28"/>
        <v>0.9747510552486318</v>
      </c>
      <c r="AC101" s="17">
        <f t="shared" si="28"/>
        <v>0.9747510552486318</v>
      </c>
      <c r="AD101" s="17">
        <f t="shared" si="28"/>
        <v>0.9747510552486318</v>
      </c>
      <c r="AE101" s="17">
        <f t="shared" si="28"/>
        <v>0.9747510552486318</v>
      </c>
      <c r="AF101" s="17">
        <f t="shared" si="28"/>
        <v>0.9747510552486318</v>
      </c>
    </row>
    <row r="102" spans="1:32" ht="11.25">
      <c r="A102" s="44" t="s">
        <v>278</v>
      </c>
      <c r="B102" s="44"/>
      <c r="G102">
        <f t="shared" si="20"/>
        <v>2014</v>
      </c>
      <c r="H102" s="3"/>
      <c r="I102" s="79"/>
      <c r="J102" s="16">
        <f t="shared" si="22"/>
        <v>1</v>
      </c>
      <c r="K102" s="16">
        <f t="shared" si="23"/>
        <v>1</v>
      </c>
      <c r="L102" s="17">
        <f>(1+$L$61)^(-L78)</f>
        <v>1</v>
      </c>
      <c r="M102" s="17">
        <f t="shared" si="25"/>
        <v>1</v>
      </c>
      <c r="N102" s="17">
        <f t="shared" si="27"/>
        <v>1</v>
      </c>
      <c r="O102" s="17">
        <f aca="true" t="shared" si="29" ref="O102:O118">(1+$O$61)^(-O78)</f>
        <v>1</v>
      </c>
      <c r="P102" s="17">
        <f>(1+$P$61)^(-P78)</f>
        <v>0.9975508312696716</v>
      </c>
      <c r="Q102" s="17">
        <f aca="true" t="shared" si="30" ref="Q102:AF102">(1+$P$61)^(-Q78)</f>
        <v>0.9951076609668129</v>
      </c>
      <c r="R102" s="17">
        <f t="shared" si="30"/>
        <v>0.9926704744002628</v>
      </c>
      <c r="S102" s="17">
        <f t="shared" si="30"/>
        <v>0.9902392569148415</v>
      </c>
      <c r="T102" s="17">
        <f t="shared" si="30"/>
        <v>0.9878139938912621</v>
      </c>
      <c r="U102" s="17">
        <f t="shared" si="30"/>
        <v>0.9853946707460429</v>
      </c>
      <c r="V102" s="17">
        <f t="shared" si="30"/>
        <v>0.9829812729314196</v>
      </c>
      <c r="W102" s="17">
        <f t="shared" si="30"/>
        <v>0.9805737859352576</v>
      </c>
      <c r="X102" s="17">
        <f t="shared" si="30"/>
        <v>0.9781721952809651</v>
      </c>
      <c r="Y102" s="17">
        <f t="shared" si="30"/>
        <v>0.9757764865274066</v>
      </c>
      <c r="Z102" s="17">
        <f t="shared" si="30"/>
        <v>0.9757764865274066</v>
      </c>
      <c r="AA102" s="17">
        <f t="shared" si="30"/>
        <v>0.9757764865274066</v>
      </c>
      <c r="AB102" s="17">
        <f t="shared" si="30"/>
        <v>0.9757764865274066</v>
      </c>
      <c r="AC102" s="17">
        <f t="shared" si="30"/>
        <v>0.9757764865274066</v>
      </c>
      <c r="AD102" s="17">
        <f t="shared" si="30"/>
        <v>0.9757764865274066</v>
      </c>
      <c r="AE102" s="17">
        <f t="shared" si="30"/>
        <v>0.9757764865274066</v>
      </c>
      <c r="AF102" s="17">
        <f t="shared" si="30"/>
        <v>0.9757764865274066</v>
      </c>
    </row>
    <row r="103" spans="1:32" ht="11.25">
      <c r="A103" s="44" t="s">
        <v>278</v>
      </c>
      <c r="B103" s="44"/>
      <c r="G103">
        <f t="shared" si="20"/>
        <v>2015</v>
      </c>
      <c r="H103" s="3"/>
      <c r="I103" s="79"/>
      <c r="J103" s="16">
        <f t="shared" si="22"/>
        <v>1</v>
      </c>
      <c r="K103" s="16">
        <f t="shared" si="23"/>
        <v>1</v>
      </c>
      <c r="L103" s="17">
        <f>(1+$L$61)^(-L79)</f>
        <v>1</v>
      </c>
      <c r="M103" s="17">
        <f t="shared" si="25"/>
        <v>1</v>
      </c>
      <c r="N103" s="17">
        <f t="shared" si="27"/>
        <v>1</v>
      </c>
      <c r="O103" s="17">
        <f t="shared" si="29"/>
        <v>1</v>
      </c>
      <c r="P103" s="17">
        <f aca="true" t="shared" si="31" ref="P103:P118">(1+$P$61)^(-P79)</f>
        <v>1</v>
      </c>
      <c r="Q103" s="17">
        <f>(1+$Q$61)^(-Q79)</f>
        <v>0.9976474595332143</v>
      </c>
      <c r="R103" s="17">
        <f>(1+$Q$61)^(-R79)</f>
        <v>0.9953004535130764</v>
      </c>
      <c r="S103" s="17">
        <f>(1+$Q$61)^(-S79)</f>
        <v>0.9929589689195767</v>
      </c>
      <c r="T103" s="17">
        <f>(1+$Q$61)^(-T79)</f>
        <v>0.9906229927633357</v>
      </c>
      <c r="U103" s="17">
        <f>(1+$Q$61)^(-U79)</f>
        <v>0.9882925120855314</v>
      </c>
      <c r="V103" s="17">
        <f>(1+$Q$61)^(-V79)</f>
        <v>0.9859675139578288</v>
      </c>
      <c r="W103" s="17">
        <f>(1+$Q$61)^(-W79)</f>
        <v>0.9836479854823069</v>
      </c>
      <c r="X103" s="17">
        <f>(1+$Q$61)^(-X79)</f>
        <v>0.9813339137913873</v>
      </c>
      <c r="Y103" s="17">
        <f>(1+$Q$61)^(-Y79)</f>
        <v>0.979025286047764</v>
      </c>
      <c r="Z103" s="17">
        <f>(1+$Q$61)^(-Z79)</f>
        <v>0.9767220894443301</v>
      </c>
      <c r="AA103" s="17">
        <f>(1+$Q$61)^(-AA79)</f>
        <v>0.9767220894443301</v>
      </c>
      <c r="AB103" s="17">
        <f>(1+$Q$61)^(-AB79)</f>
        <v>0.9767220894443301</v>
      </c>
      <c r="AC103" s="17">
        <f>(1+$Q$61)^(-AC79)</f>
        <v>0.9767220894443301</v>
      </c>
      <c r="AD103" s="17">
        <f>(1+$Q$61)^(-AD79)</f>
        <v>0.9767220894443301</v>
      </c>
      <c r="AE103" s="17">
        <f>(1+$Q$61)^(-AE79)</f>
        <v>0.9767220894443301</v>
      </c>
      <c r="AF103" s="17">
        <f>(1+$Q$61)^(-AF79)</f>
        <v>0.9767220894443301</v>
      </c>
    </row>
    <row r="104" spans="1:32" ht="11.25">
      <c r="A104" s="44" t="s">
        <v>278</v>
      </c>
      <c r="B104" s="44"/>
      <c r="G104">
        <f t="shared" si="20"/>
        <v>2016</v>
      </c>
      <c r="J104" s="16">
        <f t="shared" si="22"/>
        <v>1</v>
      </c>
      <c r="K104" s="16">
        <f t="shared" si="23"/>
        <v>1</v>
      </c>
      <c r="L104" s="17">
        <f>(1+$L$61)^(-L80)</f>
        <v>1</v>
      </c>
      <c r="M104" s="17">
        <f t="shared" si="25"/>
        <v>1</v>
      </c>
      <c r="N104" s="17">
        <f t="shared" si="27"/>
        <v>1</v>
      </c>
      <c r="O104" s="17">
        <f t="shared" si="29"/>
        <v>1</v>
      </c>
      <c r="P104" s="17">
        <f t="shared" si="31"/>
        <v>1</v>
      </c>
      <c r="Q104" s="17">
        <f>(1+$Q$61)^(-Q80)</f>
        <v>1</v>
      </c>
      <c r="R104" s="17">
        <f>(1+$R$61)^(-R80)</f>
        <v>0.9977367723643501</v>
      </c>
      <c r="S104" s="17">
        <f aca="true" t="shared" si="32" ref="S104:AF104">(1+$R$61)^(-S80)</f>
        <v>0.9954786669280308</v>
      </c>
      <c r="T104" s="17">
        <f t="shared" si="32"/>
        <v>0.9932256720983392</v>
      </c>
      <c r="U104" s="17">
        <f t="shared" si="32"/>
        <v>0.9909777763088092</v>
      </c>
      <c r="V104" s="17">
        <f t="shared" si="32"/>
        <v>0.9887349680191523</v>
      </c>
      <c r="W104" s="17">
        <f t="shared" si="32"/>
        <v>0.9864972357151978</v>
      </c>
      <c r="X104" s="17">
        <f t="shared" si="32"/>
        <v>0.9842645679088349</v>
      </c>
      <c r="Y104" s="17">
        <f t="shared" si="32"/>
        <v>0.9820369531379525</v>
      </c>
      <c r="Z104" s="17">
        <f t="shared" si="32"/>
        <v>0.9798143799663812</v>
      </c>
      <c r="AA104" s="17">
        <f t="shared" si="32"/>
        <v>0.977596836983834</v>
      </c>
      <c r="AB104" s="17">
        <f t="shared" si="32"/>
        <v>0.977596836983834</v>
      </c>
      <c r="AC104" s="17">
        <f t="shared" si="32"/>
        <v>0.977596836983834</v>
      </c>
      <c r="AD104" s="17">
        <f t="shared" si="32"/>
        <v>0.977596836983834</v>
      </c>
      <c r="AE104" s="17">
        <f t="shared" si="32"/>
        <v>0.977596836983834</v>
      </c>
      <c r="AF104" s="17">
        <f t="shared" si="32"/>
        <v>0.977596836983834</v>
      </c>
    </row>
    <row r="105" spans="1:32" ht="11.25">
      <c r="A105" s="44" t="s">
        <v>278</v>
      </c>
      <c r="B105" s="44"/>
      <c r="G105">
        <f t="shared" si="20"/>
        <v>2017</v>
      </c>
      <c r="J105" s="16">
        <f t="shared" si="22"/>
        <v>1</v>
      </c>
      <c r="K105" s="16">
        <f t="shared" si="23"/>
        <v>1</v>
      </c>
      <c r="L105" s="17">
        <f>(1+$L$61)^(-L81)</f>
        <v>1</v>
      </c>
      <c r="M105" s="17">
        <f t="shared" si="25"/>
        <v>1</v>
      </c>
      <c r="N105" s="17">
        <f t="shared" si="27"/>
        <v>1</v>
      </c>
      <c r="O105" s="17">
        <f t="shared" si="29"/>
        <v>1</v>
      </c>
      <c r="P105" s="17">
        <f t="shared" si="31"/>
        <v>1</v>
      </c>
      <c r="Q105" s="17">
        <f>(1+$Q$61)^(-Q81)</f>
        <v>1</v>
      </c>
      <c r="R105" s="17">
        <f>(1+$R$61)^(-R81)</f>
        <v>1</v>
      </c>
      <c r="S105" s="17">
        <f>(1+$S$61)^(-S81)</f>
        <v>0.9978195702716881</v>
      </c>
      <c r="T105" s="17">
        <f aca="true" t="shared" si="33" ref="T105:AF105">(1+$S$61)^(-T81)</f>
        <v>0.9956438948171763</v>
      </c>
      <c r="U105" s="17">
        <f t="shared" si="33"/>
        <v>0.9934729632701048</v>
      </c>
      <c r="V105" s="17">
        <f t="shared" si="33"/>
        <v>0.9913067652867164</v>
      </c>
      <c r="W105" s="17">
        <f t="shared" si="33"/>
        <v>0.9891452905458085</v>
      </c>
      <c r="X105" s="17">
        <f t="shared" si="33"/>
        <v>0.9869885287486827</v>
      </c>
      <c r="Y105" s="17">
        <f t="shared" si="33"/>
        <v>0.9848364696190963</v>
      </c>
      <c r="Z105" s="17">
        <f t="shared" si="33"/>
        <v>0.9826891029032131</v>
      </c>
      <c r="AA105" s="17">
        <f t="shared" si="33"/>
        <v>0.9805464183695547</v>
      </c>
      <c r="AB105" s="17">
        <f t="shared" si="33"/>
        <v>0.978408405808952</v>
      </c>
      <c r="AC105" s="17">
        <f t="shared" si="33"/>
        <v>0.978408405808952</v>
      </c>
      <c r="AD105" s="17">
        <f t="shared" si="33"/>
        <v>0.978408405808952</v>
      </c>
      <c r="AE105" s="17">
        <f t="shared" si="33"/>
        <v>0.978408405808952</v>
      </c>
      <c r="AF105" s="17">
        <f t="shared" si="33"/>
        <v>0.978408405808952</v>
      </c>
    </row>
    <row r="106" spans="1:32" ht="11.25">
      <c r="A106" s="44" t="s">
        <v>278</v>
      </c>
      <c r="B106" s="44"/>
      <c r="G106">
        <f t="shared" si="20"/>
        <v>2018</v>
      </c>
      <c r="J106" s="16">
        <f t="shared" si="22"/>
        <v>1</v>
      </c>
      <c r="K106" s="16">
        <f t="shared" si="23"/>
        <v>1</v>
      </c>
      <c r="L106" s="17">
        <f>(1+$L$61)^(-L82)</f>
        <v>1</v>
      </c>
      <c r="M106" s="17">
        <f t="shared" si="25"/>
        <v>1</v>
      </c>
      <c r="N106" s="17">
        <f t="shared" si="27"/>
        <v>1</v>
      </c>
      <c r="O106" s="17">
        <f t="shared" si="29"/>
        <v>1</v>
      </c>
      <c r="P106" s="17">
        <f t="shared" si="31"/>
        <v>1</v>
      </c>
      <c r="Q106" s="17">
        <f>(1+$Q$61)^(-Q82)</f>
        <v>1</v>
      </c>
      <c r="R106" s="17">
        <f>(1+$R$61)^(-R82)</f>
        <v>1</v>
      </c>
      <c r="S106" s="17">
        <f>(1+$S$61)^(-S82)</f>
        <v>1</v>
      </c>
      <c r="T106" s="17">
        <f>(1+$T$61)^(-T82)</f>
        <v>0.9978965410657916</v>
      </c>
      <c r="U106" s="17">
        <f aca="true" t="shared" si="34" ref="U106:AF106">(1+$T$61)^(-U82)</f>
        <v>0.9957975066710714</v>
      </c>
      <c r="V106" s="17">
        <f t="shared" si="34"/>
        <v>0.9937028875090017</v>
      </c>
      <c r="W106" s="17">
        <f t="shared" si="34"/>
        <v>0.9916126742923222</v>
      </c>
      <c r="X106" s="17">
        <f t="shared" si="34"/>
        <v>0.989526857753308</v>
      </c>
      <c r="Y106" s="17">
        <f t="shared" si="34"/>
        <v>0.9874454286437275</v>
      </c>
      <c r="Z106" s="17">
        <f t="shared" si="34"/>
        <v>0.9853683777348038</v>
      </c>
      <c r="AA106" s="17">
        <f t="shared" si="34"/>
        <v>0.9832956958171711</v>
      </c>
      <c r="AB106" s="17">
        <f t="shared" si="34"/>
        <v>0.9812273737008358</v>
      </c>
      <c r="AC106" s="17">
        <f t="shared" si="34"/>
        <v>0.9791634022151352</v>
      </c>
      <c r="AD106" s="17">
        <f t="shared" si="34"/>
        <v>0.9791634022151352</v>
      </c>
      <c r="AE106" s="17">
        <f t="shared" si="34"/>
        <v>0.9791634022151352</v>
      </c>
      <c r="AF106" s="17">
        <f t="shared" si="34"/>
        <v>0.9791634022151352</v>
      </c>
    </row>
    <row r="107" spans="1:32" ht="11.25">
      <c r="A107" s="44" t="s">
        <v>278</v>
      </c>
      <c r="B107" s="44"/>
      <c r="G107">
        <f t="shared" si="20"/>
        <v>2019</v>
      </c>
      <c r="J107" s="16">
        <f t="shared" si="22"/>
        <v>1</v>
      </c>
      <c r="K107" s="16">
        <f t="shared" si="23"/>
        <v>1</v>
      </c>
      <c r="L107" s="17">
        <f>(1+$L$61)^(-L83)</f>
        <v>1</v>
      </c>
      <c r="M107" s="17">
        <f t="shared" si="25"/>
        <v>1</v>
      </c>
      <c r="N107" s="17">
        <f t="shared" si="27"/>
        <v>1</v>
      </c>
      <c r="O107" s="17">
        <f t="shared" si="29"/>
        <v>1</v>
      </c>
      <c r="P107" s="17">
        <f t="shared" si="31"/>
        <v>1</v>
      </c>
      <c r="Q107" s="17">
        <f>(1+$Q$61)^(-Q83)</f>
        <v>1</v>
      </c>
      <c r="R107" s="17">
        <f>(1+$R$61)^(-R83)</f>
        <v>1</v>
      </c>
      <c r="S107" s="17">
        <f>(1+$S$61)^(-S83)</f>
        <v>1</v>
      </c>
      <c r="T107" s="17">
        <f>(1+$T$61)^(-T83)</f>
        <v>1</v>
      </c>
      <c r="U107" s="17">
        <f>(1+$U$61)^(-U83)</f>
        <v>0.9979682790192073</v>
      </c>
      <c r="V107" s="17">
        <f aca="true" t="shared" si="35" ref="V107:AF107">(1+$U$61)^(-V83)</f>
        <v>0.9959406859285586</v>
      </c>
      <c r="W107" s="17">
        <f t="shared" si="35"/>
        <v>0.9939172123413325</v>
      </c>
      <c r="X107" s="17">
        <f t="shared" si="35"/>
        <v>0.9918978498878476</v>
      </c>
      <c r="Y107" s="17">
        <f t="shared" si="35"/>
        <v>0.9898825902154275</v>
      </c>
      <c r="Z107" s="17">
        <f t="shared" si="35"/>
        <v>0.9878714249883654</v>
      </c>
      <c r="AA107" s="17">
        <f t="shared" si="35"/>
        <v>0.985864345887891</v>
      </c>
      <c r="AB107" s="17">
        <f t="shared" si="35"/>
        <v>0.9838613446121351</v>
      </c>
      <c r="AC107" s="17">
        <f t="shared" si="35"/>
        <v>0.9818624128760958</v>
      </c>
      <c r="AD107" s="17">
        <f t="shared" si="35"/>
        <v>0.9798675424116037</v>
      </c>
      <c r="AE107" s="17">
        <f t="shared" si="35"/>
        <v>0.9798675424116037</v>
      </c>
      <c r="AF107" s="17">
        <f t="shared" si="35"/>
        <v>0.9798675424116037</v>
      </c>
    </row>
    <row r="108" spans="1:32" ht="11.25">
      <c r="A108" s="44" t="s">
        <v>278</v>
      </c>
      <c r="B108" s="44"/>
      <c r="G108">
        <f t="shared" si="20"/>
        <v>2020</v>
      </c>
      <c r="J108" s="16">
        <f t="shared" si="22"/>
        <v>1</v>
      </c>
      <c r="K108" s="16">
        <f t="shared" si="23"/>
        <v>1</v>
      </c>
      <c r="L108" s="17">
        <f>(1+$L$61)^(-L84)</f>
        <v>1</v>
      </c>
      <c r="M108" s="17">
        <f t="shared" si="25"/>
        <v>1</v>
      </c>
      <c r="N108" s="17">
        <f t="shared" si="27"/>
        <v>1</v>
      </c>
      <c r="O108" s="17">
        <f t="shared" si="29"/>
        <v>1</v>
      </c>
      <c r="P108" s="17">
        <f t="shared" si="31"/>
        <v>1</v>
      </c>
      <c r="Q108" s="17">
        <f>(1+$Q$61)^(-Q84)</f>
        <v>1</v>
      </c>
      <c r="R108" s="17">
        <f>(1+$R$61)^(-R84)</f>
        <v>1</v>
      </c>
      <c r="S108" s="17">
        <f>(1+$S$61)^(-S84)</f>
        <v>1</v>
      </c>
      <c r="T108" s="17">
        <f>(1+$T$61)^(-T84)</f>
        <v>1</v>
      </c>
      <c r="U108" s="17">
        <f>(1+$U$61)^(-U84)</f>
        <v>1</v>
      </c>
      <c r="V108" s="17">
        <f>(1+$V$61)^(-V84)</f>
        <v>0.9980353002457717</v>
      </c>
      <c r="W108" s="17">
        <f aca="true" t="shared" si="36" ref="W108:AF108">(1+$V$61)^(-W84)</f>
        <v>0.9960744605366677</v>
      </c>
      <c r="X108" s="17">
        <f t="shared" si="36"/>
        <v>0.9941174732888582</v>
      </c>
      <c r="Y108" s="17">
        <f t="shared" si="36"/>
        <v>0.9921643309334138</v>
      </c>
      <c r="Z108" s="17">
        <f t="shared" si="36"/>
        <v>0.9902150259162749</v>
      </c>
      <c r="AA108" s="17">
        <f t="shared" si="36"/>
        <v>0.988269550698224</v>
      </c>
      <c r="AB108" s="17">
        <f t="shared" si="36"/>
        <v>0.986327897754856</v>
      </c>
      <c r="AC108" s="17">
        <f t="shared" si="36"/>
        <v>0.9843900595765486</v>
      </c>
      <c r="AD108" s="17">
        <f t="shared" si="36"/>
        <v>0.9824560286684337</v>
      </c>
      <c r="AE108" s="17">
        <f t="shared" si="36"/>
        <v>0.9805257975503687</v>
      </c>
      <c r="AF108" s="17">
        <f t="shared" si="36"/>
        <v>0.9805257975503687</v>
      </c>
    </row>
    <row r="109" spans="1:32" ht="11.25">
      <c r="A109" s="44" t="s">
        <v>278</v>
      </c>
      <c r="G109">
        <f t="shared" si="20"/>
        <v>2021</v>
      </c>
      <c r="J109" s="16">
        <f t="shared" si="22"/>
        <v>1</v>
      </c>
      <c r="K109" s="16">
        <f t="shared" si="23"/>
        <v>1</v>
      </c>
      <c r="L109" s="17">
        <f>(1+$L$61)^(-L85)</f>
        <v>1</v>
      </c>
      <c r="M109" s="17">
        <f t="shared" si="25"/>
        <v>1</v>
      </c>
      <c r="N109" s="17">
        <f t="shared" si="27"/>
        <v>1</v>
      </c>
      <c r="O109" s="17">
        <f t="shared" si="29"/>
        <v>1</v>
      </c>
      <c r="P109" s="17">
        <f t="shared" si="31"/>
        <v>1</v>
      </c>
      <c r="Q109" s="17">
        <f>(1+$Q$61)^(-Q85)</f>
        <v>1</v>
      </c>
      <c r="R109" s="17">
        <f aca="true" t="shared" si="37" ref="R109:R118">(1+$R$61)^(-R85)</f>
        <v>1</v>
      </c>
      <c r="S109" s="17">
        <f aca="true" t="shared" si="38" ref="S109:S118">(1+$S$61)^(-S85)</f>
        <v>1</v>
      </c>
      <c r="T109" s="17">
        <f aca="true" t="shared" si="39" ref="T109:T118">(1+$T$61)^(-T85)</f>
        <v>1</v>
      </c>
      <c r="U109" s="17">
        <f aca="true" t="shared" si="40" ref="U109:U118">(1+$U$61)^(-U85)</f>
        <v>1</v>
      </c>
      <c r="V109" s="17">
        <f aca="true" t="shared" si="41" ref="V109:AF118">(1+$V$61)^(-V85)</f>
        <v>1</v>
      </c>
      <c r="W109" s="17">
        <f t="shared" si="41"/>
        <v>0.9980353002457717</v>
      </c>
      <c r="X109" s="17">
        <f t="shared" si="41"/>
        <v>0.9960744605366677</v>
      </c>
      <c r="Y109" s="17">
        <f t="shared" si="41"/>
        <v>0.9941174732888582</v>
      </c>
      <c r="Z109" s="17">
        <f t="shared" si="41"/>
        <v>0.9921643309334138</v>
      </c>
      <c r="AA109" s="17">
        <f t="shared" si="41"/>
        <v>0.9902150259162749</v>
      </c>
      <c r="AB109" s="17">
        <f t="shared" si="41"/>
        <v>0.988269550698224</v>
      </c>
      <c r="AC109" s="17">
        <f t="shared" si="41"/>
        <v>0.986327897754856</v>
      </c>
      <c r="AD109" s="17">
        <f t="shared" si="41"/>
        <v>0.9843900595765486</v>
      </c>
      <c r="AE109" s="17">
        <f t="shared" si="41"/>
        <v>0.9824560286684337</v>
      </c>
      <c r="AF109" s="17">
        <f t="shared" si="41"/>
        <v>0.9805257975503687</v>
      </c>
    </row>
    <row r="110" spans="1:32" ht="11.25">
      <c r="A110" s="44" t="s">
        <v>278</v>
      </c>
      <c r="G110">
        <f t="shared" si="20"/>
        <v>2022</v>
      </c>
      <c r="J110" s="16">
        <f t="shared" si="22"/>
        <v>1</v>
      </c>
      <c r="K110" s="16">
        <f t="shared" si="23"/>
        <v>1</v>
      </c>
      <c r="L110" s="17">
        <f>(1+$L$61)^(-L86)</f>
        <v>1</v>
      </c>
      <c r="M110" s="17">
        <f t="shared" si="25"/>
        <v>1</v>
      </c>
      <c r="N110" s="17">
        <f t="shared" si="27"/>
        <v>1</v>
      </c>
      <c r="O110" s="17">
        <f t="shared" si="29"/>
        <v>1</v>
      </c>
      <c r="P110" s="17">
        <f t="shared" si="31"/>
        <v>1</v>
      </c>
      <c r="Q110" s="17">
        <f>(1+$Q$61)^(-Q86)</f>
        <v>1</v>
      </c>
      <c r="R110" s="17">
        <f t="shared" si="37"/>
        <v>1</v>
      </c>
      <c r="S110" s="17">
        <f t="shared" si="38"/>
        <v>1</v>
      </c>
      <c r="T110" s="17">
        <f t="shared" si="39"/>
        <v>1</v>
      </c>
      <c r="U110" s="17">
        <f t="shared" si="40"/>
        <v>1</v>
      </c>
      <c r="V110" s="17">
        <f t="shared" si="41"/>
        <v>1</v>
      </c>
      <c r="W110" s="17">
        <f t="shared" si="41"/>
        <v>1</v>
      </c>
      <c r="X110" s="17">
        <f t="shared" si="41"/>
        <v>0.9980353002457717</v>
      </c>
      <c r="Y110" s="17">
        <f t="shared" si="41"/>
        <v>0.9960744605366677</v>
      </c>
      <c r="Z110" s="17">
        <f t="shared" si="41"/>
        <v>0.9941174732888582</v>
      </c>
      <c r="AA110" s="17">
        <f t="shared" si="41"/>
        <v>0.9921643309334138</v>
      </c>
      <c r="AB110" s="17">
        <f t="shared" si="41"/>
        <v>0.9902150259162749</v>
      </c>
      <c r="AC110" s="17">
        <f t="shared" si="41"/>
        <v>0.988269550698224</v>
      </c>
      <c r="AD110" s="17">
        <f t="shared" si="41"/>
        <v>0.986327897754856</v>
      </c>
      <c r="AE110" s="17">
        <f t="shared" si="41"/>
        <v>0.9843900595765486</v>
      </c>
      <c r="AF110" s="17">
        <f t="shared" si="41"/>
        <v>0.9824560286684337</v>
      </c>
    </row>
    <row r="111" spans="1:32" ht="11.25">
      <c r="A111" s="44" t="s">
        <v>278</v>
      </c>
      <c r="G111">
        <f t="shared" si="20"/>
        <v>2023</v>
      </c>
      <c r="J111" s="16">
        <f t="shared" si="22"/>
        <v>1</v>
      </c>
      <c r="K111" s="16">
        <f t="shared" si="23"/>
        <v>1</v>
      </c>
      <c r="L111" s="17">
        <f>(1+$L$61)^(-L87)</f>
        <v>1</v>
      </c>
      <c r="M111" s="17">
        <f t="shared" si="25"/>
        <v>1</v>
      </c>
      <c r="N111" s="17">
        <f t="shared" si="27"/>
        <v>1</v>
      </c>
      <c r="O111" s="17">
        <f t="shared" si="29"/>
        <v>1</v>
      </c>
      <c r="P111" s="17">
        <f t="shared" si="31"/>
        <v>1</v>
      </c>
      <c r="Q111" s="17">
        <f>(1+$Q$61)^(-Q87)</f>
        <v>1</v>
      </c>
      <c r="R111" s="17">
        <f t="shared" si="37"/>
        <v>1</v>
      </c>
      <c r="S111" s="17">
        <f t="shared" si="38"/>
        <v>1</v>
      </c>
      <c r="T111" s="17">
        <f t="shared" si="39"/>
        <v>1</v>
      </c>
      <c r="U111" s="17">
        <f t="shared" si="40"/>
        <v>1</v>
      </c>
      <c r="V111" s="17">
        <f t="shared" si="41"/>
        <v>1</v>
      </c>
      <c r="W111" s="17">
        <f t="shared" si="41"/>
        <v>1</v>
      </c>
      <c r="X111" s="17">
        <f t="shared" si="41"/>
        <v>1</v>
      </c>
      <c r="Y111" s="17">
        <f t="shared" si="41"/>
        <v>0.9980353002457717</v>
      </c>
      <c r="Z111" s="17">
        <f t="shared" si="41"/>
        <v>0.9960744605366677</v>
      </c>
      <c r="AA111" s="17">
        <f t="shared" si="41"/>
        <v>0.9941174732888582</v>
      </c>
      <c r="AB111" s="17">
        <f t="shared" si="41"/>
        <v>0.9921643309334138</v>
      </c>
      <c r="AC111" s="17">
        <f t="shared" si="41"/>
        <v>0.9902150259162749</v>
      </c>
      <c r="AD111" s="17">
        <f t="shared" si="41"/>
        <v>0.988269550698224</v>
      </c>
      <c r="AE111" s="17">
        <f t="shared" si="41"/>
        <v>0.986327897754856</v>
      </c>
      <c r="AF111" s="17">
        <f t="shared" si="41"/>
        <v>0.9843900595765486</v>
      </c>
    </row>
    <row r="112" spans="1:32" ht="11.25">
      <c r="A112" s="44" t="s">
        <v>278</v>
      </c>
      <c r="G112">
        <f t="shared" si="20"/>
        <v>2024</v>
      </c>
      <c r="J112" s="16">
        <f t="shared" si="22"/>
        <v>1</v>
      </c>
      <c r="K112" s="16">
        <f t="shared" si="23"/>
        <v>1</v>
      </c>
      <c r="L112" s="17">
        <f>(1+$L$61)^(-L88)</f>
        <v>1</v>
      </c>
      <c r="M112" s="17">
        <f t="shared" si="25"/>
        <v>1</v>
      </c>
      <c r="N112" s="17">
        <f t="shared" si="27"/>
        <v>1</v>
      </c>
      <c r="O112" s="17">
        <f t="shared" si="29"/>
        <v>1</v>
      </c>
      <c r="P112" s="17">
        <f t="shared" si="31"/>
        <v>1</v>
      </c>
      <c r="Q112" s="17">
        <f>(1+$Q$61)^(-Q88)</f>
        <v>1</v>
      </c>
      <c r="R112" s="17">
        <f t="shared" si="37"/>
        <v>1</v>
      </c>
      <c r="S112" s="17">
        <f t="shared" si="38"/>
        <v>1</v>
      </c>
      <c r="T112" s="17">
        <f t="shared" si="39"/>
        <v>1</v>
      </c>
      <c r="U112" s="17">
        <f t="shared" si="40"/>
        <v>1</v>
      </c>
      <c r="V112" s="17">
        <f t="shared" si="41"/>
        <v>1</v>
      </c>
      <c r="W112" s="17">
        <f t="shared" si="41"/>
        <v>1</v>
      </c>
      <c r="X112" s="17">
        <f t="shared" si="41"/>
        <v>1</v>
      </c>
      <c r="Y112" s="17">
        <f t="shared" si="41"/>
        <v>1</v>
      </c>
      <c r="Z112" s="17">
        <f t="shared" si="41"/>
        <v>0.9980353002457717</v>
      </c>
      <c r="AA112" s="17">
        <f t="shared" si="41"/>
        <v>0.9960744605366677</v>
      </c>
      <c r="AB112" s="17">
        <f t="shared" si="41"/>
        <v>0.9941174732888582</v>
      </c>
      <c r="AC112" s="17">
        <f t="shared" si="41"/>
        <v>0.9921643309334138</v>
      </c>
      <c r="AD112" s="17">
        <f t="shared" si="41"/>
        <v>0.9902150259162749</v>
      </c>
      <c r="AE112" s="17">
        <f t="shared" si="41"/>
        <v>0.988269550698224</v>
      </c>
      <c r="AF112" s="17">
        <f t="shared" si="41"/>
        <v>0.986327897754856</v>
      </c>
    </row>
    <row r="113" spans="1:32" ht="11.25">
      <c r="A113" s="44" t="s">
        <v>278</v>
      </c>
      <c r="G113">
        <f t="shared" si="20"/>
        <v>2025</v>
      </c>
      <c r="J113" s="16">
        <f t="shared" si="22"/>
        <v>1</v>
      </c>
      <c r="K113" s="16">
        <f t="shared" si="23"/>
        <v>1</v>
      </c>
      <c r="L113" s="17">
        <f>(1+$L$61)^(-L89)</f>
        <v>1</v>
      </c>
      <c r="M113" s="17">
        <f t="shared" si="25"/>
        <v>1</v>
      </c>
      <c r="N113" s="17">
        <f t="shared" si="27"/>
        <v>1</v>
      </c>
      <c r="O113" s="17">
        <f t="shared" si="29"/>
        <v>1</v>
      </c>
      <c r="P113" s="17">
        <f t="shared" si="31"/>
        <v>1</v>
      </c>
      <c r="Q113" s="17">
        <f>(1+$Q$61)^(-Q89)</f>
        <v>1</v>
      </c>
      <c r="R113" s="17">
        <f t="shared" si="37"/>
        <v>1</v>
      </c>
      <c r="S113" s="17">
        <f t="shared" si="38"/>
        <v>1</v>
      </c>
      <c r="T113" s="17">
        <f t="shared" si="39"/>
        <v>1</v>
      </c>
      <c r="U113" s="17">
        <f t="shared" si="40"/>
        <v>1</v>
      </c>
      <c r="V113" s="17">
        <f t="shared" si="41"/>
        <v>1</v>
      </c>
      <c r="W113" s="17">
        <f t="shared" si="41"/>
        <v>1</v>
      </c>
      <c r="X113" s="17">
        <f t="shared" si="41"/>
        <v>1</v>
      </c>
      <c r="Y113" s="17">
        <f t="shared" si="41"/>
        <v>1</v>
      </c>
      <c r="Z113" s="17">
        <f t="shared" si="41"/>
        <v>1</v>
      </c>
      <c r="AA113" s="17">
        <f t="shared" si="41"/>
        <v>0.9980353002457717</v>
      </c>
      <c r="AB113" s="17">
        <f t="shared" si="41"/>
        <v>0.9960744605366677</v>
      </c>
      <c r="AC113" s="17">
        <f t="shared" si="41"/>
        <v>0.9941174732888582</v>
      </c>
      <c r="AD113" s="17">
        <f t="shared" si="41"/>
        <v>0.9921643309334138</v>
      </c>
      <c r="AE113" s="17">
        <f t="shared" si="41"/>
        <v>0.9902150259162749</v>
      </c>
      <c r="AF113" s="17">
        <f t="shared" si="41"/>
        <v>0.988269550698224</v>
      </c>
    </row>
    <row r="114" spans="1:32" ht="11.25">
      <c r="A114" s="44" t="s">
        <v>278</v>
      </c>
      <c r="G114">
        <f t="shared" si="20"/>
        <v>2026</v>
      </c>
      <c r="J114" s="16">
        <f t="shared" si="22"/>
        <v>1</v>
      </c>
      <c r="K114" s="16">
        <f t="shared" si="23"/>
        <v>1</v>
      </c>
      <c r="L114" s="17">
        <f>(1+$L$61)^(-L90)</f>
        <v>1</v>
      </c>
      <c r="M114" s="17">
        <f t="shared" si="25"/>
        <v>1</v>
      </c>
      <c r="N114" s="17">
        <f t="shared" si="27"/>
        <v>1</v>
      </c>
      <c r="O114" s="17">
        <f t="shared" si="29"/>
        <v>1</v>
      </c>
      <c r="P114" s="17">
        <f t="shared" si="31"/>
        <v>1</v>
      </c>
      <c r="Q114" s="17">
        <f>(1+$Q$61)^(-Q90)</f>
        <v>1</v>
      </c>
      <c r="R114" s="17">
        <f t="shared" si="37"/>
        <v>1</v>
      </c>
      <c r="S114" s="17">
        <f t="shared" si="38"/>
        <v>1</v>
      </c>
      <c r="T114" s="17">
        <f t="shared" si="39"/>
        <v>1</v>
      </c>
      <c r="U114" s="17">
        <f t="shared" si="40"/>
        <v>1</v>
      </c>
      <c r="V114" s="17">
        <f t="shared" si="41"/>
        <v>1</v>
      </c>
      <c r="W114" s="17">
        <f t="shared" si="41"/>
        <v>1</v>
      </c>
      <c r="X114" s="17">
        <f t="shared" si="41"/>
        <v>1</v>
      </c>
      <c r="Y114" s="17">
        <f t="shared" si="41"/>
        <v>1</v>
      </c>
      <c r="Z114" s="17">
        <f t="shared" si="41"/>
        <v>1</v>
      </c>
      <c r="AA114" s="17">
        <f t="shared" si="41"/>
        <v>1</v>
      </c>
      <c r="AB114" s="17">
        <f t="shared" si="41"/>
        <v>0.9980353002457717</v>
      </c>
      <c r="AC114" s="17">
        <f t="shared" si="41"/>
        <v>0.9960744605366677</v>
      </c>
      <c r="AD114" s="17">
        <f t="shared" si="41"/>
        <v>0.9941174732888582</v>
      </c>
      <c r="AE114" s="17">
        <f t="shared" si="41"/>
        <v>0.9921643309334138</v>
      </c>
      <c r="AF114" s="17">
        <f t="shared" si="41"/>
        <v>0.9902150259162749</v>
      </c>
    </row>
    <row r="115" spans="1:32" ht="11.25">
      <c r="A115" s="44" t="s">
        <v>278</v>
      </c>
      <c r="G115">
        <f t="shared" si="20"/>
        <v>2027</v>
      </c>
      <c r="J115" s="16">
        <f t="shared" si="22"/>
        <v>1</v>
      </c>
      <c r="K115" s="16">
        <f t="shared" si="23"/>
        <v>1</v>
      </c>
      <c r="L115" s="17">
        <f>(1+$L$61)^(-L91)</f>
        <v>1</v>
      </c>
      <c r="M115" s="17">
        <f t="shared" si="25"/>
        <v>1</v>
      </c>
      <c r="N115" s="17">
        <f t="shared" si="27"/>
        <v>1</v>
      </c>
      <c r="O115" s="17">
        <f t="shared" si="29"/>
        <v>1</v>
      </c>
      <c r="P115" s="17">
        <f t="shared" si="31"/>
        <v>1</v>
      </c>
      <c r="Q115" s="17">
        <f>(1+$Q$61)^(-Q91)</f>
        <v>1</v>
      </c>
      <c r="R115" s="17">
        <f t="shared" si="37"/>
        <v>1</v>
      </c>
      <c r="S115" s="17">
        <f t="shared" si="38"/>
        <v>1</v>
      </c>
      <c r="T115" s="17">
        <f t="shared" si="39"/>
        <v>1</v>
      </c>
      <c r="U115" s="17">
        <f t="shared" si="40"/>
        <v>1</v>
      </c>
      <c r="V115" s="17">
        <f t="shared" si="41"/>
        <v>1</v>
      </c>
      <c r="W115" s="17">
        <f t="shared" si="41"/>
        <v>1</v>
      </c>
      <c r="X115" s="17">
        <f t="shared" si="41"/>
        <v>1</v>
      </c>
      <c r="Y115" s="17">
        <f t="shared" si="41"/>
        <v>1</v>
      </c>
      <c r="Z115" s="17">
        <f t="shared" si="41"/>
        <v>1</v>
      </c>
      <c r="AA115" s="17">
        <f t="shared" si="41"/>
        <v>1</v>
      </c>
      <c r="AB115" s="17">
        <f t="shared" si="41"/>
        <v>1</v>
      </c>
      <c r="AC115" s="17">
        <f t="shared" si="41"/>
        <v>0.9980353002457717</v>
      </c>
      <c r="AD115" s="17">
        <f t="shared" si="41"/>
        <v>0.9960744605366677</v>
      </c>
      <c r="AE115" s="17">
        <f t="shared" si="41"/>
        <v>0.9941174732888582</v>
      </c>
      <c r="AF115" s="17">
        <f t="shared" si="41"/>
        <v>0.9921643309334138</v>
      </c>
    </row>
    <row r="116" spans="1:32" ht="11.25">
      <c r="A116" s="44" t="s">
        <v>278</v>
      </c>
      <c r="G116">
        <f t="shared" si="20"/>
        <v>2028</v>
      </c>
      <c r="J116" s="16">
        <f t="shared" si="22"/>
        <v>1</v>
      </c>
      <c r="K116" s="16">
        <f t="shared" si="23"/>
        <v>1</v>
      </c>
      <c r="L116" s="17">
        <f>(1+$L$61)^(-L92)</f>
        <v>1</v>
      </c>
      <c r="M116" s="17">
        <f t="shared" si="25"/>
        <v>1</v>
      </c>
      <c r="N116" s="17">
        <f t="shared" si="27"/>
        <v>1</v>
      </c>
      <c r="O116" s="17">
        <f t="shared" si="29"/>
        <v>1</v>
      </c>
      <c r="P116" s="17">
        <f t="shared" si="31"/>
        <v>1</v>
      </c>
      <c r="Q116" s="17">
        <f>(1+$Q$61)^(-Q92)</f>
        <v>1</v>
      </c>
      <c r="R116" s="17">
        <f t="shared" si="37"/>
        <v>1</v>
      </c>
      <c r="S116" s="17">
        <f t="shared" si="38"/>
        <v>1</v>
      </c>
      <c r="T116" s="17">
        <f t="shared" si="39"/>
        <v>1</v>
      </c>
      <c r="U116" s="17">
        <f t="shared" si="40"/>
        <v>1</v>
      </c>
      <c r="V116" s="17">
        <f t="shared" si="41"/>
        <v>1</v>
      </c>
      <c r="W116" s="17">
        <f t="shared" si="41"/>
        <v>1</v>
      </c>
      <c r="X116" s="17">
        <f t="shared" si="41"/>
        <v>1</v>
      </c>
      <c r="Y116" s="17">
        <f t="shared" si="41"/>
        <v>1</v>
      </c>
      <c r="Z116" s="17">
        <f t="shared" si="41"/>
        <v>1</v>
      </c>
      <c r="AA116" s="17">
        <f t="shared" si="41"/>
        <v>1</v>
      </c>
      <c r="AB116" s="17">
        <f t="shared" si="41"/>
        <v>1</v>
      </c>
      <c r="AC116" s="17">
        <f t="shared" si="41"/>
        <v>1</v>
      </c>
      <c r="AD116" s="17">
        <f t="shared" si="41"/>
        <v>0.9980353002457717</v>
      </c>
      <c r="AE116" s="17">
        <f t="shared" si="41"/>
        <v>0.9960744605366677</v>
      </c>
      <c r="AF116" s="17">
        <f t="shared" si="41"/>
        <v>0.9941174732888582</v>
      </c>
    </row>
    <row r="117" spans="1:32" ht="11.25">
      <c r="A117" s="44" t="s">
        <v>278</v>
      </c>
      <c r="G117">
        <f t="shared" si="20"/>
        <v>2029</v>
      </c>
      <c r="J117" s="16">
        <f t="shared" si="22"/>
        <v>1</v>
      </c>
      <c r="K117" s="16">
        <f t="shared" si="23"/>
        <v>1</v>
      </c>
      <c r="L117" s="17">
        <f>(1+$L$61)^(-L93)</f>
        <v>1</v>
      </c>
      <c r="M117" s="17">
        <f t="shared" si="25"/>
        <v>1</v>
      </c>
      <c r="N117" s="17">
        <f t="shared" si="27"/>
        <v>1</v>
      </c>
      <c r="O117" s="17">
        <f t="shared" si="29"/>
        <v>1</v>
      </c>
      <c r="P117" s="17">
        <f t="shared" si="31"/>
        <v>1</v>
      </c>
      <c r="Q117" s="17">
        <f>(1+$Q$61)^(-Q93)</f>
        <v>1</v>
      </c>
      <c r="R117" s="17">
        <f t="shared" si="37"/>
        <v>1</v>
      </c>
      <c r="S117" s="17">
        <f t="shared" si="38"/>
        <v>1</v>
      </c>
      <c r="T117" s="17">
        <f t="shared" si="39"/>
        <v>1</v>
      </c>
      <c r="U117" s="17">
        <f t="shared" si="40"/>
        <v>1</v>
      </c>
      <c r="V117" s="17">
        <f t="shared" si="41"/>
        <v>1</v>
      </c>
      <c r="W117" s="17">
        <f t="shared" si="41"/>
        <v>1</v>
      </c>
      <c r="X117" s="17">
        <f t="shared" si="41"/>
        <v>1</v>
      </c>
      <c r="Y117" s="17">
        <f t="shared" si="41"/>
        <v>1</v>
      </c>
      <c r="Z117" s="17">
        <f t="shared" si="41"/>
        <v>1</v>
      </c>
      <c r="AA117" s="17">
        <f t="shared" si="41"/>
        <v>1</v>
      </c>
      <c r="AB117" s="17">
        <f t="shared" si="41"/>
        <v>1</v>
      </c>
      <c r="AC117" s="17">
        <f t="shared" si="41"/>
        <v>1</v>
      </c>
      <c r="AD117" s="17">
        <f t="shared" si="41"/>
        <v>1</v>
      </c>
      <c r="AE117" s="17">
        <f t="shared" si="41"/>
        <v>0.9980353002457717</v>
      </c>
      <c r="AF117" s="17">
        <f t="shared" si="41"/>
        <v>0.9960744605366677</v>
      </c>
    </row>
    <row r="118" spans="1:32" ht="11.25">
      <c r="A118" s="44" t="s">
        <v>278</v>
      </c>
      <c r="G118">
        <f t="shared" si="20"/>
        <v>2030</v>
      </c>
      <c r="J118" s="16">
        <f t="shared" si="22"/>
        <v>1</v>
      </c>
      <c r="K118" s="16">
        <f t="shared" si="23"/>
        <v>1</v>
      </c>
      <c r="L118" s="17">
        <f>(1+$L$61)^(-L94)</f>
        <v>1</v>
      </c>
      <c r="M118" s="17">
        <f t="shared" si="25"/>
        <v>1</v>
      </c>
      <c r="N118" s="17">
        <f t="shared" si="27"/>
        <v>1</v>
      </c>
      <c r="O118" s="17">
        <f t="shared" si="29"/>
        <v>1</v>
      </c>
      <c r="P118" s="17">
        <f t="shared" si="31"/>
        <v>1</v>
      </c>
      <c r="Q118" s="17">
        <f>(1+$Q$61)^(-Q94)</f>
        <v>1</v>
      </c>
      <c r="R118" s="17">
        <f t="shared" si="37"/>
        <v>1</v>
      </c>
      <c r="S118" s="17">
        <f t="shared" si="38"/>
        <v>1</v>
      </c>
      <c r="T118" s="17">
        <f t="shared" si="39"/>
        <v>1</v>
      </c>
      <c r="U118" s="17">
        <f t="shared" si="40"/>
        <v>1</v>
      </c>
      <c r="V118" s="17">
        <f t="shared" si="41"/>
        <v>1</v>
      </c>
      <c r="W118" s="17">
        <f t="shared" si="41"/>
        <v>1</v>
      </c>
      <c r="X118" s="17">
        <f t="shared" si="41"/>
        <v>1</v>
      </c>
      <c r="Y118" s="17">
        <f t="shared" si="41"/>
        <v>1</v>
      </c>
      <c r="Z118" s="17">
        <f t="shared" si="41"/>
        <v>1</v>
      </c>
      <c r="AA118" s="17">
        <f t="shared" si="41"/>
        <v>1</v>
      </c>
      <c r="AB118" s="17">
        <f t="shared" si="41"/>
        <v>1</v>
      </c>
      <c r="AC118" s="17">
        <f t="shared" si="41"/>
        <v>1</v>
      </c>
      <c r="AD118" s="17">
        <f t="shared" si="41"/>
        <v>1</v>
      </c>
      <c r="AE118" s="17">
        <f t="shared" si="41"/>
        <v>1</v>
      </c>
      <c r="AF118" s="17">
        <f t="shared" si="41"/>
        <v>0.9980353002457717</v>
      </c>
    </row>
    <row r="120" spans="1:32" ht="11.25">
      <c r="A120" t="s">
        <v>84</v>
      </c>
      <c r="J120" s="42">
        <f aca="true" t="shared" si="42" ref="J120:AF120">1-J96*J97*J98*J99*J100*J101*J102*J103*J104*J105*J106*J107*J108</f>
        <v>0.003249304849205159</v>
      </c>
      <c r="K120" s="42">
        <f t="shared" si="42"/>
        <v>0.009549664526485646</v>
      </c>
      <c r="L120" s="42">
        <f t="shared" si="42"/>
        <v>0.018694207968056542</v>
      </c>
      <c r="M120" s="42">
        <f t="shared" si="42"/>
        <v>0.030469993655882655</v>
      </c>
      <c r="N120" s="42">
        <f t="shared" si="42"/>
        <v>0.04466040963002338</v>
      </c>
      <c r="O120" s="42">
        <f t="shared" si="42"/>
        <v>0.061047401427958725</v>
      </c>
      <c r="P120" s="42">
        <f t="shared" si="42"/>
        <v>0.07941351353215942</v>
      </c>
      <c r="Q120" s="42">
        <f t="shared" si="42"/>
        <v>0.09954373566488672</v>
      </c>
      <c r="R120" s="42">
        <f t="shared" si="42"/>
        <v>0.12122714999414064</v>
      </c>
      <c r="S120" s="42">
        <f t="shared" si="42"/>
        <v>0.1442583792023464</v>
      </c>
      <c r="T120" s="42">
        <f t="shared" si="42"/>
        <v>0.1657280346156217</v>
      </c>
      <c r="U120" s="42">
        <f t="shared" si="42"/>
        <v>0.18580248459573634</v>
      </c>
      <c r="V120" s="42">
        <f t="shared" si="42"/>
        <v>0.2046243421624968</v>
      </c>
      <c r="W120" s="42">
        <f t="shared" si="42"/>
        <v>0.22083473354404415</v>
      </c>
      <c r="X120" s="42">
        <f t="shared" si="42"/>
        <v>0.23467263039581265</v>
      </c>
      <c r="Y120" s="42">
        <f t="shared" si="42"/>
        <v>0.24633988218855074</v>
      </c>
      <c r="Z120" s="42">
        <f t="shared" si="42"/>
        <v>0.25600710509340485</v>
      </c>
      <c r="AA120" s="42">
        <f t="shared" si="42"/>
        <v>0.2638184292788277</v>
      </c>
      <c r="AB120" s="42">
        <f t="shared" si="42"/>
        <v>0.26989534784686453</v>
      </c>
      <c r="AC120" s="42">
        <f t="shared" si="42"/>
        <v>0.27433985264284333</v>
      </c>
      <c r="AD120" s="42">
        <f t="shared" si="42"/>
        <v>0.2772369992689544</v>
      </c>
      <c r="AE120" s="42">
        <f t="shared" si="42"/>
        <v>0.278657011558856</v>
      </c>
      <c r="AF120" s="42">
        <f t="shared" si="42"/>
        <v>0.278657011558856</v>
      </c>
    </row>
    <row r="122" spans="1:3" ht="12">
      <c r="A122" s="9" t="s">
        <v>88</v>
      </c>
      <c r="C122" t="s">
        <v>18</v>
      </c>
    </row>
    <row r="124" spans="1:7" ht="11.25">
      <c r="A124" s="138" t="s">
        <v>19</v>
      </c>
      <c r="B124" s="138"/>
      <c r="C124" s="138"/>
      <c r="D124" s="138"/>
      <c r="E124" s="138"/>
      <c r="F124" s="138"/>
      <c r="G124" s="138"/>
    </row>
    <row r="125" spans="1:7" ht="11.25">
      <c r="A125" s="138"/>
      <c r="B125" s="138"/>
      <c r="C125" s="138"/>
      <c r="D125" s="138"/>
      <c r="E125" s="138"/>
      <c r="F125" s="138"/>
      <c r="G125" s="138"/>
    </row>
    <row r="127" spans="1:6" ht="11.25">
      <c r="A127" s="14" t="s">
        <v>91</v>
      </c>
      <c r="E127" s="13"/>
      <c r="F127" s="13">
        <v>2020</v>
      </c>
    </row>
    <row r="129" spans="1:6" ht="11.25">
      <c r="A129" t="s">
        <v>101</v>
      </c>
      <c r="F129" s="52">
        <f>V37</f>
        <v>38778.17133567512</v>
      </c>
    </row>
    <row r="130" spans="1:6" ht="11.25">
      <c r="A130" t="s">
        <v>102</v>
      </c>
      <c r="F130" s="52">
        <f>V53</f>
        <v>30843.213535848008</v>
      </c>
    </row>
    <row r="131" spans="1:9" s="14" customFormat="1" ht="9.75">
      <c r="A131" s="14" t="s">
        <v>164</v>
      </c>
      <c r="F131" s="53">
        <f>F130/F129</f>
        <v>0.7953756578375032</v>
      </c>
      <c r="I131" s="81"/>
    </row>
    <row r="133" spans="1:6" ht="11.25">
      <c r="A133" t="s">
        <v>131</v>
      </c>
      <c r="F133" s="24">
        <f>G49</f>
        <v>21.512972249999997</v>
      </c>
    </row>
    <row r="134" spans="1:6" ht="11.25">
      <c r="A134" t="s">
        <v>132</v>
      </c>
      <c r="F134" s="24">
        <f>V49</f>
        <v>21.362289330474418</v>
      </c>
    </row>
    <row r="135" spans="1:9" s="14" customFormat="1" ht="9.75">
      <c r="A135" s="14" t="s">
        <v>164</v>
      </c>
      <c r="F135" s="53">
        <f>F134/F133</f>
        <v>0.9929957182218009</v>
      </c>
      <c r="I135" s="81"/>
    </row>
    <row r="136" ht="11.25">
      <c r="F136" s="24"/>
    </row>
    <row r="137" spans="1:6" ht="11.25">
      <c r="A137" s="3" t="s">
        <v>96</v>
      </c>
      <c r="F137" s="24"/>
    </row>
    <row r="138" spans="1:6" ht="11.25">
      <c r="A138" t="s">
        <v>93</v>
      </c>
      <c r="F138" s="24">
        <f>V40</f>
        <v>378.33728972794745</v>
      </c>
    </row>
    <row r="139" spans="1:6" ht="11.25">
      <c r="A139" t="s">
        <v>95</v>
      </c>
      <c r="F139" s="24">
        <f>V54</f>
        <v>298.81254033305675</v>
      </c>
    </row>
    <row r="140" spans="1:6" ht="11.25">
      <c r="A140" s="14" t="s">
        <v>164</v>
      </c>
      <c r="B140" s="14"/>
      <c r="C140" s="14"/>
      <c r="D140" s="14"/>
      <c r="E140" s="14"/>
      <c r="F140" s="105">
        <f>F139/F138</f>
        <v>0.7898046226104889</v>
      </c>
    </row>
    <row r="141" ht="11.25">
      <c r="F141" s="24"/>
    </row>
    <row r="142" spans="1:6" ht="11.25">
      <c r="A142" s="14" t="s">
        <v>163</v>
      </c>
      <c r="B142" s="14"/>
      <c r="C142" s="14"/>
      <c r="D142" s="14"/>
      <c r="E142" s="14"/>
      <c r="F142" s="105">
        <f>F135*F131</f>
        <v>0.7898046226104888</v>
      </c>
    </row>
    <row r="143" ht="11.25">
      <c r="F143" s="24"/>
    </row>
    <row r="144" spans="1:6" ht="11.25">
      <c r="A144" t="s">
        <v>97</v>
      </c>
      <c r="F144" s="24"/>
    </row>
    <row r="145" spans="1:6" ht="11.25">
      <c r="A145" t="s">
        <v>98</v>
      </c>
      <c r="F145" s="7">
        <f>(1-F131)/(1-F135)</f>
        <v>29.214179075346696</v>
      </c>
    </row>
    <row r="147" spans="1:6" ht="12">
      <c r="A147" s="54" t="s">
        <v>99</v>
      </c>
      <c r="B147" s="55"/>
      <c r="C147" s="55"/>
      <c r="D147" s="55"/>
      <c r="E147" s="55"/>
      <c r="F147" s="56">
        <f>F145/(1+F145)</f>
        <v>0.9669029564726466</v>
      </c>
    </row>
    <row r="148" spans="1:6" ht="12">
      <c r="A148" s="57" t="s">
        <v>100</v>
      </c>
      <c r="B148" s="58"/>
      <c r="C148" s="58"/>
      <c r="D148" s="58"/>
      <c r="E148" s="58"/>
      <c r="F148" s="59">
        <f>1-F147</f>
        <v>0.03309704352735343</v>
      </c>
    </row>
  </sheetData>
  <mergeCells count="3">
    <mergeCell ref="A3:E5"/>
    <mergeCell ref="L67:V70"/>
    <mergeCell ref="A124:G12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G148"/>
  <sheetViews>
    <sheetView workbookViewId="0" topLeftCell="A1">
      <selection activeCell="L5" sqref="L5"/>
    </sheetView>
  </sheetViews>
  <sheetFormatPr defaultColWidth="9.140625" defaultRowHeight="12"/>
  <cols>
    <col min="6" max="6" width="9.140625" style="0" bestFit="1" customWidth="1"/>
    <col min="7" max="7" width="12.140625" style="0" customWidth="1"/>
    <col min="9" max="9" width="8.8515625" style="33" customWidth="1"/>
    <col min="10" max="10" width="8.8515625" style="0" customWidth="1"/>
  </cols>
  <sheetData>
    <row r="1" spans="1:3" ht="12.75">
      <c r="A1" s="1" t="s">
        <v>20</v>
      </c>
      <c r="C1" t="s">
        <v>174</v>
      </c>
    </row>
    <row r="2" ht="12.75">
      <c r="A2" s="1"/>
    </row>
    <row r="3" spans="1:10" ht="11.25">
      <c r="A3" s="137" t="s">
        <v>10</v>
      </c>
      <c r="B3" s="138"/>
      <c r="C3" s="138"/>
      <c r="D3" s="138"/>
      <c r="E3" s="138"/>
      <c r="F3" s="139"/>
      <c r="G3" s="82" t="s">
        <v>43</v>
      </c>
      <c r="I3" s="82" t="s">
        <v>146</v>
      </c>
      <c r="J3" s="88" t="s">
        <v>149</v>
      </c>
    </row>
    <row r="4" spans="1:10" ht="11.25">
      <c r="A4" s="138"/>
      <c r="B4" s="138"/>
      <c r="C4" s="138"/>
      <c r="D4" s="138"/>
      <c r="E4" s="138"/>
      <c r="F4" s="139"/>
      <c r="G4" s="83" t="s">
        <v>108</v>
      </c>
      <c r="I4" s="83" t="s">
        <v>147</v>
      </c>
      <c r="J4" s="68" t="s">
        <v>150</v>
      </c>
    </row>
    <row r="5" spans="1:10" ht="11.25">
      <c r="A5" s="138"/>
      <c r="B5" s="138"/>
      <c r="C5" s="138"/>
      <c r="D5" s="138"/>
      <c r="E5" s="138"/>
      <c r="F5" s="139"/>
      <c r="G5" s="83" t="s">
        <v>109</v>
      </c>
      <c r="I5" s="83" t="s">
        <v>148</v>
      </c>
      <c r="J5" s="68" t="s">
        <v>151</v>
      </c>
    </row>
    <row r="6" spans="1:10" ht="11.25">
      <c r="A6" s="138"/>
      <c r="B6" s="138"/>
      <c r="C6" s="138"/>
      <c r="D6" s="138"/>
      <c r="E6" s="138"/>
      <c r="F6" s="139"/>
      <c r="G6" s="83" t="s">
        <v>159</v>
      </c>
      <c r="I6" s="84" t="s">
        <v>158</v>
      </c>
      <c r="J6" s="89" t="s">
        <v>152</v>
      </c>
    </row>
    <row r="7" spans="7:8" ht="11.25">
      <c r="G7" s="98" t="s">
        <v>160</v>
      </c>
      <c r="H7" s="13"/>
    </row>
    <row r="8" spans="1:32" ht="11.25">
      <c r="A8" s="34"/>
      <c r="G8" s="97"/>
      <c r="H8" s="13"/>
      <c r="I8" s="95"/>
      <c r="J8" s="96"/>
      <c r="K8" s="13"/>
      <c r="L8" s="13"/>
      <c r="M8" s="13"/>
      <c r="N8" s="13"/>
      <c r="O8" s="13"/>
      <c r="P8" s="13"/>
      <c r="Q8" s="13"/>
      <c r="R8" s="13"/>
      <c r="S8" s="13"/>
      <c r="T8" s="13"/>
      <c r="U8" s="13"/>
      <c r="V8" s="13"/>
      <c r="W8" s="13"/>
      <c r="X8" s="13"/>
      <c r="Y8" s="13"/>
      <c r="Z8" s="13"/>
      <c r="AA8" s="13"/>
      <c r="AB8" s="13"/>
      <c r="AC8" s="13"/>
      <c r="AD8" s="13"/>
      <c r="AE8" s="13"/>
      <c r="AF8" s="13"/>
    </row>
    <row r="9" spans="1:32" ht="11.25">
      <c r="A9" s="3"/>
      <c r="G9" s="97"/>
      <c r="H9" s="13"/>
      <c r="I9" s="95"/>
      <c r="J9" s="96"/>
      <c r="K9" s="13"/>
      <c r="L9" s="13"/>
      <c r="M9" s="13"/>
      <c r="N9" s="13"/>
      <c r="O9" s="13"/>
      <c r="P9" s="13"/>
      <c r="Q9" s="13"/>
      <c r="R9" s="13"/>
      <c r="S9" s="13"/>
      <c r="T9" s="13"/>
      <c r="U9" s="13"/>
      <c r="V9" s="13"/>
      <c r="W9" s="13"/>
      <c r="X9" s="13"/>
      <c r="Y9" s="13"/>
      <c r="Z9" s="13"/>
      <c r="AA9" s="13"/>
      <c r="AB9" s="13"/>
      <c r="AC9" s="13"/>
      <c r="AD9" s="13"/>
      <c r="AE9" s="13"/>
      <c r="AF9" s="13"/>
    </row>
    <row r="10" spans="7:32" ht="11.25">
      <c r="G10" s="97"/>
      <c r="H10" s="13"/>
      <c r="I10" s="95">
        <v>2007</v>
      </c>
      <c r="J10" s="96">
        <f>Summary!J71</f>
        <v>2008</v>
      </c>
      <c r="K10" s="13">
        <f aca="true" t="shared" si="0" ref="K10:AF10">J10+1</f>
        <v>2009</v>
      </c>
      <c r="L10" s="13">
        <f t="shared" si="0"/>
        <v>2010</v>
      </c>
      <c r="M10" s="13">
        <f t="shared" si="0"/>
        <v>2011</v>
      </c>
      <c r="N10" s="13">
        <f t="shared" si="0"/>
        <v>2012</v>
      </c>
      <c r="O10" s="13">
        <f t="shared" si="0"/>
        <v>2013</v>
      </c>
      <c r="P10" s="13">
        <f t="shared" si="0"/>
        <v>2014</v>
      </c>
      <c r="Q10" s="13">
        <f t="shared" si="0"/>
        <v>2015</v>
      </c>
      <c r="R10" s="13">
        <f t="shared" si="0"/>
        <v>2016</v>
      </c>
      <c r="S10" s="13">
        <f t="shared" si="0"/>
        <v>2017</v>
      </c>
      <c r="T10" s="13">
        <f t="shared" si="0"/>
        <v>2018</v>
      </c>
      <c r="U10" s="13">
        <f t="shared" si="0"/>
        <v>2019</v>
      </c>
      <c r="V10" s="13">
        <f t="shared" si="0"/>
        <v>2020</v>
      </c>
      <c r="W10" s="13">
        <f t="shared" si="0"/>
        <v>2021</v>
      </c>
      <c r="X10" s="13">
        <f t="shared" si="0"/>
        <v>2022</v>
      </c>
      <c r="Y10" s="13">
        <f t="shared" si="0"/>
        <v>2023</v>
      </c>
      <c r="Z10" s="13">
        <f t="shared" si="0"/>
        <v>2024</v>
      </c>
      <c r="AA10" s="13">
        <f t="shared" si="0"/>
        <v>2025</v>
      </c>
      <c r="AB10" s="13">
        <f t="shared" si="0"/>
        <v>2026</v>
      </c>
      <c r="AC10" s="13">
        <f t="shared" si="0"/>
        <v>2027</v>
      </c>
      <c r="AD10" s="13">
        <f t="shared" si="0"/>
        <v>2028</v>
      </c>
      <c r="AE10" s="13">
        <f t="shared" si="0"/>
        <v>2029</v>
      </c>
      <c r="AF10" s="13">
        <f t="shared" si="0"/>
        <v>2030</v>
      </c>
    </row>
    <row r="11" ht="12">
      <c r="A11" s="99" t="s">
        <v>161</v>
      </c>
    </row>
    <row r="12" ht="11.25">
      <c r="A12" s="100" t="s">
        <v>162</v>
      </c>
    </row>
    <row r="14" spans="1:7" ht="11.25">
      <c r="A14" t="s">
        <v>51</v>
      </c>
      <c r="G14" s="94">
        <f>Summary!H59</f>
        <v>10</v>
      </c>
    </row>
    <row r="15" spans="1:32" ht="11.25">
      <c r="A15" t="s">
        <v>145</v>
      </c>
      <c r="G15" s="2"/>
      <c r="I15" s="70" t="s">
        <v>157</v>
      </c>
      <c r="J15" s="63" t="str">
        <f aca="true" t="shared" si="1" ref="J15:AF15">IF(J$10&gt;=$I$10,"YES","NO")</f>
        <v>YES</v>
      </c>
      <c r="K15" s="63" t="str">
        <f t="shared" si="1"/>
        <v>YES</v>
      </c>
      <c r="L15" s="63" t="str">
        <f t="shared" si="1"/>
        <v>YES</v>
      </c>
      <c r="M15" s="63" t="str">
        <f t="shared" si="1"/>
        <v>YES</v>
      </c>
      <c r="N15" s="63" t="str">
        <f t="shared" si="1"/>
        <v>YES</v>
      </c>
      <c r="O15" s="63" t="str">
        <f t="shared" si="1"/>
        <v>YES</v>
      </c>
      <c r="P15" s="63" t="str">
        <f t="shared" si="1"/>
        <v>YES</v>
      </c>
      <c r="Q15" s="63" t="str">
        <f t="shared" si="1"/>
        <v>YES</v>
      </c>
      <c r="R15" s="63" t="str">
        <f t="shared" si="1"/>
        <v>YES</v>
      </c>
      <c r="S15" s="63" t="str">
        <f t="shared" si="1"/>
        <v>YES</v>
      </c>
      <c r="T15" s="63" t="str">
        <f t="shared" si="1"/>
        <v>YES</v>
      </c>
      <c r="U15" s="63" t="str">
        <f t="shared" si="1"/>
        <v>YES</v>
      </c>
      <c r="V15" s="63" t="str">
        <f t="shared" si="1"/>
        <v>YES</v>
      </c>
      <c r="W15" s="63" t="str">
        <f t="shared" si="1"/>
        <v>YES</v>
      </c>
      <c r="X15" s="63" t="str">
        <f t="shared" si="1"/>
        <v>YES</v>
      </c>
      <c r="Y15" s="63" t="str">
        <f t="shared" si="1"/>
        <v>YES</v>
      </c>
      <c r="Z15" s="63" t="str">
        <f t="shared" si="1"/>
        <v>YES</v>
      </c>
      <c r="AA15" s="63" t="str">
        <f t="shared" si="1"/>
        <v>YES</v>
      </c>
      <c r="AB15" s="63" t="str">
        <f t="shared" si="1"/>
        <v>YES</v>
      </c>
      <c r="AC15" s="63" t="str">
        <f t="shared" si="1"/>
        <v>YES</v>
      </c>
      <c r="AD15" s="63" t="str">
        <f t="shared" si="1"/>
        <v>YES</v>
      </c>
      <c r="AE15" s="63" t="str">
        <f t="shared" si="1"/>
        <v>YES</v>
      </c>
      <c r="AF15" s="63" t="str">
        <f t="shared" si="1"/>
        <v>YES</v>
      </c>
    </row>
    <row r="16" spans="1:32" ht="11.25">
      <c r="A16" t="s">
        <v>154</v>
      </c>
      <c r="G16" s="2"/>
      <c r="I16" s="63" t="s">
        <v>157</v>
      </c>
      <c r="J16" s="63" t="str">
        <f>IF(J$10&gt;Summary!$H68,"YES","NO")</f>
        <v>NO</v>
      </c>
      <c r="K16" s="63" t="str">
        <f>IF(K$10&gt;Summary!$H68,"YES","NO")</f>
        <v>NO</v>
      </c>
      <c r="L16" s="63" t="str">
        <f>IF(L$10&gt;Summary!$H68,"YES","NO")</f>
        <v>NO</v>
      </c>
      <c r="M16" s="63" t="str">
        <f>IF(M$10&gt;Summary!$H68,"YES","NO")</f>
        <v>NO</v>
      </c>
      <c r="N16" s="63" t="str">
        <f>IF(N$10&gt;Summary!$H68,"YES","NO")</f>
        <v>NO</v>
      </c>
      <c r="O16" s="63" t="str">
        <f>IF(O$10&gt;Summary!$H68,"YES","NO")</f>
        <v>NO</v>
      </c>
      <c r="P16" s="63" t="str">
        <f>IF(P$10&gt;Summary!$H68,"YES","NO")</f>
        <v>NO</v>
      </c>
      <c r="Q16" s="63" t="str">
        <f>IF(Q$10&gt;Summary!$H68,"YES","NO")</f>
        <v>NO</v>
      </c>
      <c r="R16" s="63" t="str">
        <f>IF(R$10&gt;Summary!$H68,"YES","NO")</f>
        <v>NO</v>
      </c>
      <c r="S16" s="63" t="str">
        <f>IF(S$10&gt;Summary!$H68,"YES","NO")</f>
        <v>NO</v>
      </c>
      <c r="T16" s="63" t="str">
        <f>IF(T$10&gt;Summary!$H68,"YES","NO")</f>
        <v>NO</v>
      </c>
      <c r="U16" s="63" t="str">
        <f>IF(U$10&gt;Summary!$H68,"YES","NO")</f>
        <v>NO</v>
      </c>
      <c r="V16" s="63" t="str">
        <f>IF(V$10&gt;Summary!$H68,"YES","NO")</f>
        <v>NO</v>
      </c>
      <c r="W16" s="63" t="str">
        <f>IF(W$10&gt;Summary!$H68,"YES","NO")</f>
        <v>NO</v>
      </c>
      <c r="X16" s="63" t="str">
        <f>IF(X$10&gt;Summary!$H68,"YES","NO")</f>
        <v>NO</v>
      </c>
      <c r="Y16" s="63" t="str">
        <f>IF(Y$10&gt;Summary!$H68,"YES","NO")</f>
        <v>NO</v>
      </c>
      <c r="Z16" s="63" t="str">
        <f>IF(Z$10&gt;Summary!$H68,"YES","NO")</f>
        <v>NO</v>
      </c>
      <c r="AA16" s="63" t="str">
        <f>IF(AA$10&gt;Summary!$H68,"YES","NO")</f>
        <v>NO</v>
      </c>
      <c r="AB16" s="63" t="str">
        <f>IF(AB$10&gt;Summary!$H68,"YES","NO")</f>
        <v>NO</v>
      </c>
      <c r="AC16" s="63" t="str">
        <f>IF(AC$10&gt;Summary!$H68,"YES","NO")</f>
        <v>NO</v>
      </c>
      <c r="AD16" s="63" t="str">
        <f>IF(AD$10&gt;Summary!$H68,"YES","NO")</f>
        <v>YES</v>
      </c>
      <c r="AE16" s="63" t="str">
        <f>IF(AE$10&gt;Summary!$H68,"YES","NO")</f>
        <v>YES</v>
      </c>
      <c r="AF16" s="63" t="str">
        <f>IF(AF$10&gt;Summary!$H68,"YES","NO")</f>
        <v>YES</v>
      </c>
    </row>
    <row r="17" spans="1:32" ht="11.25">
      <c r="A17" t="s">
        <v>153</v>
      </c>
      <c r="I17" s="33">
        <f>IF(I15="NO",0,(IF(I15="YES",H17+1,3)))</f>
        <v>0</v>
      </c>
      <c r="J17">
        <f aca="true" t="shared" si="2" ref="J17:W17">IF(J15="NO",0,(IF(AND(J15="YES",J16="NO"),I17+1,I17)))</f>
        <v>1</v>
      </c>
      <c r="K17">
        <f t="shared" si="2"/>
        <v>2</v>
      </c>
      <c r="L17">
        <f t="shared" si="2"/>
        <v>3</v>
      </c>
      <c r="M17">
        <f t="shared" si="2"/>
        <v>4</v>
      </c>
      <c r="N17">
        <f t="shared" si="2"/>
        <v>5</v>
      </c>
      <c r="O17">
        <f t="shared" si="2"/>
        <v>6</v>
      </c>
      <c r="P17">
        <f t="shared" si="2"/>
        <v>7</v>
      </c>
      <c r="Q17">
        <f t="shared" si="2"/>
        <v>8</v>
      </c>
      <c r="R17">
        <f t="shared" si="2"/>
        <v>9</v>
      </c>
      <c r="S17">
        <f t="shared" si="2"/>
        <v>10</v>
      </c>
      <c r="T17">
        <f t="shared" si="2"/>
        <v>11</v>
      </c>
      <c r="U17">
        <f t="shared" si="2"/>
        <v>12</v>
      </c>
      <c r="V17">
        <f t="shared" si="2"/>
        <v>13</v>
      </c>
      <c r="W17">
        <f t="shared" si="2"/>
        <v>14</v>
      </c>
      <c r="X17">
        <f aca="true" t="shared" si="3" ref="X17:AF17">IF(X15="NO",0,(IF(AND(X15="YES",X16="NO"),W17+1,W17)))</f>
        <v>15</v>
      </c>
      <c r="Y17">
        <f t="shared" si="3"/>
        <v>16</v>
      </c>
      <c r="Z17">
        <f t="shared" si="3"/>
        <v>17</v>
      </c>
      <c r="AA17">
        <f t="shared" si="3"/>
        <v>18</v>
      </c>
      <c r="AB17">
        <f t="shared" si="3"/>
        <v>19</v>
      </c>
      <c r="AC17">
        <f t="shared" si="3"/>
        <v>20</v>
      </c>
      <c r="AD17">
        <f t="shared" si="3"/>
        <v>20</v>
      </c>
      <c r="AE17">
        <f t="shared" si="3"/>
        <v>20</v>
      </c>
      <c r="AF17">
        <f t="shared" si="3"/>
        <v>20</v>
      </c>
    </row>
    <row r="18" spans="1:32" s="114" customFormat="1" ht="11.25">
      <c r="A18" s="114" t="s">
        <v>52</v>
      </c>
      <c r="G18" s="122"/>
      <c r="I18" s="116">
        <f aca="true" t="shared" si="4" ref="I18:W18">I17*$G$14</f>
        <v>0</v>
      </c>
      <c r="J18" s="116">
        <f t="shared" si="4"/>
        <v>10</v>
      </c>
      <c r="K18" s="116">
        <f t="shared" si="4"/>
        <v>20</v>
      </c>
      <c r="L18" s="116">
        <f t="shared" si="4"/>
        <v>30</v>
      </c>
      <c r="M18" s="116">
        <f t="shared" si="4"/>
        <v>40</v>
      </c>
      <c r="N18" s="116">
        <f t="shared" si="4"/>
        <v>50</v>
      </c>
      <c r="O18" s="116">
        <f t="shared" si="4"/>
        <v>60</v>
      </c>
      <c r="P18" s="116">
        <f t="shared" si="4"/>
        <v>70</v>
      </c>
      <c r="Q18" s="116">
        <f t="shared" si="4"/>
        <v>80</v>
      </c>
      <c r="R18" s="116">
        <f t="shared" si="4"/>
        <v>90</v>
      </c>
      <c r="S18" s="116">
        <f t="shared" si="4"/>
        <v>100</v>
      </c>
      <c r="T18" s="116">
        <f t="shared" si="4"/>
        <v>110</v>
      </c>
      <c r="U18" s="116">
        <f t="shared" si="4"/>
        <v>120</v>
      </c>
      <c r="V18" s="116">
        <f t="shared" si="4"/>
        <v>130</v>
      </c>
      <c r="W18" s="116">
        <f t="shared" si="4"/>
        <v>140</v>
      </c>
      <c r="X18" s="116">
        <f aca="true" t="shared" si="5" ref="X18:AF18">X17*$G$14</f>
        <v>150</v>
      </c>
      <c r="Y18" s="116">
        <f t="shared" si="5"/>
        <v>160</v>
      </c>
      <c r="Z18" s="116">
        <f t="shared" si="5"/>
        <v>170</v>
      </c>
      <c r="AA18" s="116">
        <f t="shared" si="5"/>
        <v>180</v>
      </c>
      <c r="AB18" s="116">
        <f t="shared" si="5"/>
        <v>190</v>
      </c>
      <c r="AC18" s="116">
        <f t="shared" si="5"/>
        <v>200</v>
      </c>
      <c r="AD18" s="116">
        <f t="shared" si="5"/>
        <v>200</v>
      </c>
      <c r="AE18" s="116">
        <f t="shared" si="5"/>
        <v>200</v>
      </c>
      <c r="AF18" s="116">
        <f t="shared" si="5"/>
        <v>200</v>
      </c>
    </row>
    <row r="19" spans="1:8" ht="11.25">
      <c r="A19" t="s">
        <v>53</v>
      </c>
      <c r="G19" s="23">
        <f>44/12</f>
        <v>3.6666666666666665</v>
      </c>
      <c r="H19" s="39"/>
    </row>
    <row r="20" spans="1:7" ht="11.25">
      <c r="A20" t="s">
        <v>44</v>
      </c>
      <c r="G20" s="20">
        <v>2205</v>
      </c>
    </row>
    <row r="22" spans="1:7" ht="12.75">
      <c r="A22" t="s">
        <v>75</v>
      </c>
      <c r="G22">
        <v>35</v>
      </c>
    </row>
    <row r="23" ht="11.25">
      <c r="A23" s="34" t="s">
        <v>72</v>
      </c>
    </row>
    <row r="24" spans="1:7" ht="12.75">
      <c r="A24" t="s">
        <v>76</v>
      </c>
      <c r="G24" s="4">
        <f>G22*G19</f>
        <v>128.33333333333331</v>
      </c>
    </row>
    <row r="25" spans="1:32" ht="12">
      <c r="A25" s="9"/>
      <c r="G25" s="23"/>
      <c r="H25" s="35"/>
      <c r="J25" s="24"/>
      <c r="K25" s="7"/>
      <c r="L25" s="7"/>
      <c r="M25" s="7"/>
      <c r="N25" s="7"/>
      <c r="O25" s="7"/>
      <c r="P25" s="7"/>
      <c r="Q25" s="7"/>
      <c r="R25" s="7"/>
      <c r="S25" s="7"/>
      <c r="T25" s="7"/>
      <c r="U25" s="7"/>
      <c r="V25" s="7"/>
      <c r="W25" s="7"/>
      <c r="X25" s="7"/>
      <c r="Y25" s="7"/>
      <c r="Z25" s="7"/>
      <c r="AA25" s="7"/>
      <c r="AB25" s="7"/>
      <c r="AC25" s="7"/>
      <c r="AD25" s="7"/>
      <c r="AE25" s="7"/>
      <c r="AF25" s="7"/>
    </row>
    <row r="26" spans="1:7" ht="11.25">
      <c r="A26" t="s">
        <v>73</v>
      </c>
      <c r="G26" s="126">
        <f>Emissions!G18</f>
        <v>2023.3</v>
      </c>
    </row>
    <row r="27" spans="1:7" ht="11.25">
      <c r="A27" s="3" t="s">
        <v>22</v>
      </c>
      <c r="G27" s="8"/>
    </row>
    <row r="28" spans="1:7" ht="11.25">
      <c r="A28" t="s">
        <v>77</v>
      </c>
      <c r="G28" s="126">
        <f>G26*G20/1000</f>
        <v>4461.3765</v>
      </c>
    </row>
    <row r="29" spans="1:7" ht="11.25">
      <c r="A29" s="3"/>
      <c r="G29" s="8"/>
    </row>
    <row r="30" spans="1:7" ht="11.25">
      <c r="A30" t="s">
        <v>74</v>
      </c>
      <c r="G30" s="40">
        <f>G28/G24*1000</f>
        <v>34763.97272727274</v>
      </c>
    </row>
    <row r="32" spans="1:7" ht="11.25">
      <c r="A32" s="102" t="s">
        <v>42</v>
      </c>
      <c r="G32" s="102">
        <v>0.015</v>
      </c>
    </row>
    <row r="33" spans="1:7" ht="11.25">
      <c r="A33" s="3" t="s">
        <v>139</v>
      </c>
      <c r="G33" s="5"/>
    </row>
    <row r="35" spans="1:32" ht="11.25">
      <c r="A35" t="s">
        <v>78</v>
      </c>
      <c r="I35" s="92">
        <f>G30*(1+G32)^2</f>
        <v>35814.713802954546</v>
      </c>
      <c r="J35" s="40">
        <f>G30*(1+G32)^3</f>
        <v>36351.934509998864</v>
      </c>
      <c r="K35" s="40">
        <f aca="true" t="shared" si="6" ref="K35:AF35">J35*(1+$G$32)</f>
        <v>36897.21352764884</v>
      </c>
      <c r="L35" s="40">
        <f t="shared" si="6"/>
        <v>37450.67173056357</v>
      </c>
      <c r="M35" s="40">
        <f t="shared" si="6"/>
        <v>38012.43180652202</v>
      </c>
      <c r="N35" s="40">
        <f t="shared" si="6"/>
        <v>38582.61828361985</v>
      </c>
      <c r="O35" s="40">
        <f t="shared" si="6"/>
        <v>39161.357557874144</v>
      </c>
      <c r="P35" s="40">
        <f t="shared" si="6"/>
        <v>39748.777921242254</v>
      </c>
      <c r="Q35" s="40">
        <f t="shared" si="6"/>
        <v>40345.00959006089</v>
      </c>
      <c r="R35" s="40">
        <f t="shared" si="6"/>
        <v>40950.184733911796</v>
      </c>
      <c r="S35" s="40">
        <f t="shared" si="6"/>
        <v>41564.43750492047</v>
      </c>
      <c r="T35" s="40">
        <f t="shared" si="6"/>
        <v>42187.90406749427</v>
      </c>
      <c r="U35" s="40">
        <f t="shared" si="6"/>
        <v>42820.722628506686</v>
      </c>
      <c r="V35" s="40">
        <f t="shared" si="6"/>
        <v>43463.033467934285</v>
      </c>
      <c r="W35" s="40">
        <f t="shared" si="6"/>
        <v>44114.97896995329</v>
      </c>
      <c r="X35" s="40">
        <f t="shared" si="6"/>
        <v>44776.703654502584</v>
      </c>
      <c r="Y35" s="40">
        <f t="shared" si="6"/>
        <v>45448.35420932012</v>
      </c>
      <c r="Z35" s="40">
        <f t="shared" si="6"/>
        <v>46130.07952245991</v>
      </c>
      <c r="AA35" s="40">
        <f t="shared" si="6"/>
        <v>46822.03071529681</v>
      </c>
      <c r="AB35" s="40">
        <f t="shared" si="6"/>
        <v>47524.36117602626</v>
      </c>
      <c r="AC35" s="40">
        <f t="shared" si="6"/>
        <v>48237.226593666644</v>
      </c>
      <c r="AD35" s="40">
        <f t="shared" si="6"/>
        <v>48960.78499257164</v>
      </c>
      <c r="AE35" s="40">
        <f t="shared" si="6"/>
        <v>49695.196767460206</v>
      </c>
      <c r="AF35" s="40">
        <f t="shared" si="6"/>
        <v>50440.6247189721</v>
      </c>
    </row>
    <row r="36" spans="1:7" ht="11.25">
      <c r="A36" s="3" t="s">
        <v>139</v>
      </c>
      <c r="G36" s="5"/>
    </row>
    <row r="38" spans="1:33" ht="12">
      <c r="A38" t="s">
        <v>49</v>
      </c>
      <c r="G38" s="19"/>
      <c r="I38" s="134">
        <f aca="true" t="shared" si="7" ref="I38:AF38">I35*$G$24/$G$20</f>
        <v>2084.4542424999995</v>
      </c>
      <c r="J38" s="19">
        <f t="shared" si="7"/>
        <v>2115.7210561374995</v>
      </c>
      <c r="K38" s="19">
        <f t="shared" si="7"/>
        <v>2147.456871979562</v>
      </c>
      <c r="L38" s="19">
        <f t="shared" si="7"/>
        <v>2179.668725059255</v>
      </c>
      <c r="M38" s="19">
        <f t="shared" si="7"/>
        <v>2212.3637559351437</v>
      </c>
      <c r="N38" s="19">
        <f t="shared" si="7"/>
        <v>2245.5492122741707</v>
      </c>
      <c r="O38" s="19">
        <f t="shared" si="7"/>
        <v>2279.2324504582834</v>
      </c>
      <c r="P38" s="19">
        <f t="shared" si="7"/>
        <v>2313.420937215157</v>
      </c>
      <c r="Q38" s="19">
        <f t="shared" si="7"/>
        <v>2348.122251273385</v>
      </c>
      <c r="R38" s="19">
        <f t="shared" si="7"/>
        <v>2383.3440850424854</v>
      </c>
      <c r="S38" s="19">
        <f t="shared" si="7"/>
        <v>2419.094246318122</v>
      </c>
      <c r="T38" s="19">
        <f t="shared" si="7"/>
        <v>2455.380660012894</v>
      </c>
      <c r="U38" s="19">
        <f t="shared" si="7"/>
        <v>2492.211369913087</v>
      </c>
      <c r="V38" s="19">
        <f t="shared" si="7"/>
        <v>2529.5945404617833</v>
      </c>
      <c r="W38" s="19">
        <f t="shared" si="7"/>
        <v>2567.5384585687098</v>
      </c>
      <c r="X38" s="19">
        <f t="shared" si="7"/>
        <v>2606.05153544724</v>
      </c>
      <c r="Y38" s="19">
        <f t="shared" si="7"/>
        <v>2645.142308478948</v>
      </c>
      <c r="Z38" s="19">
        <f t="shared" si="7"/>
        <v>2684.8194431061324</v>
      </c>
      <c r="AA38" s="19">
        <f t="shared" si="7"/>
        <v>2725.091734752724</v>
      </c>
      <c r="AB38" s="19">
        <f t="shared" si="7"/>
        <v>2765.9681107740143</v>
      </c>
      <c r="AC38" s="19">
        <f t="shared" si="7"/>
        <v>2807.4576324356244</v>
      </c>
      <c r="AD38" s="19">
        <f t="shared" si="7"/>
        <v>2849.569496922158</v>
      </c>
      <c r="AE38" s="19">
        <f t="shared" si="7"/>
        <v>2892.3130393759902</v>
      </c>
      <c r="AF38" s="19">
        <f t="shared" si="7"/>
        <v>2935.69773496663</v>
      </c>
      <c r="AG38" s="19"/>
    </row>
    <row r="40" spans="1:7" ht="11.25">
      <c r="A40" s="102" t="s">
        <v>117</v>
      </c>
      <c r="G40" s="102">
        <v>0.01</v>
      </c>
    </row>
    <row r="41" spans="1:7" ht="11.25">
      <c r="A41" s="3" t="s">
        <v>140</v>
      </c>
      <c r="G41" s="5"/>
    </row>
    <row r="42" spans="1:7" ht="11.25">
      <c r="A42" t="s">
        <v>118</v>
      </c>
      <c r="G42" s="61">
        <f>G40*Summary!H59/37</f>
        <v>0.002702702702702703</v>
      </c>
    </row>
    <row r="43" ht="11.25">
      <c r="G43" s="61"/>
    </row>
    <row r="44" spans="1:33" ht="11.25">
      <c r="A44" t="s">
        <v>80</v>
      </c>
      <c r="E44" s="39"/>
      <c r="F44" s="37"/>
      <c r="H44" s="46">
        <f>G14/(2000/G22)</f>
        <v>0.175</v>
      </c>
      <c r="J44" s="36">
        <f aca="true" t="shared" si="8" ref="J44:AF44">J48*J18/(2000*$G$19)</f>
        <v>0.17452702702702702</v>
      </c>
      <c r="K44" s="36">
        <f t="shared" si="8"/>
        <v>0.3481106647187728</v>
      </c>
      <c r="L44" s="36">
        <f t="shared" si="8"/>
        <v>0.5207547376265966</v>
      </c>
      <c r="M44" s="36">
        <f t="shared" si="8"/>
        <v>0.6924630565196908</v>
      </c>
      <c r="N44" s="36">
        <f t="shared" si="8"/>
        <v>0.8632394184316414</v>
      </c>
      <c r="O44" s="36">
        <f t="shared" si="8"/>
        <v>1.0330876067068402</v>
      </c>
      <c r="P44" s="36">
        <f t="shared" si="8"/>
        <v>1.2020113910467425</v>
      </c>
      <c r="Q44" s="36">
        <f t="shared" si="8"/>
        <v>1.370014527555978</v>
      </c>
      <c r="R44" s="36">
        <f t="shared" si="8"/>
        <v>1.5371007587883125</v>
      </c>
      <c r="S44" s="36">
        <f t="shared" si="8"/>
        <v>1.7032738137924541</v>
      </c>
      <c r="T44" s="36">
        <f t="shared" si="8"/>
        <v>1.868537408157722</v>
      </c>
      <c r="U44" s="36">
        <f t="shared" si="8"/>
        <v>2.032895244059556</v>
      </c>
      <c r="V44" s="36">
        <f t="shared" si="8"/>
        <v>2.1963510103048853</v>
      </c>
      <c r="W44" s="36">
        <f t="shared" si="8"/>
        <v>2.3589083823773467</v>
      </c>
      <c r="X44" s="36">
        <f t="shared" si="8"/>
        <v>2.5205710224823585</v>
      </c>
      <c r="Y44" s="36">
        <f t="shared" si="8"/>
        <v>2.681342579592044</v>
      </c>
      <c r="Z44" s="36">
        <f t="shared" si="8"/>
        <v>2.8412266894900156</v>
      </c>
      <c r="AA44" s="36">
        <f t="shared" si="8"/>
        <v>3.000226974816007</v>
      </c>
      <c r="AB44" s="36">
        <f t="shared" si="8"/>
        <v>3.158347045110365</v>
      </c>
      <c r="AC44" s="36">
        <f t="shared" si="8"/>
        <v>3.3155904968583916</v>
      </c>
      <c r="AD44" s="36">
        <f t="shared" si="8"/>
        <v>3.3155904968583916</v>
      </c>
      <c r="AE44" s="36">
        <f t="shared" si="8"/>
        <v>3.3155904968583916</v>
      </c>
      <c r="AF44" s="36">
        <f t="shared" si="8"/>
        <v>3.3155904968583916</v>
      </c>
      <c r="AG44" s="36"/>
    </row>
    <row r="45" spans="1:32" ht="11.25">
      <c r="A45" t="s">
        <v>81</v>
      </c>
      <c r="H45" s="36">
        <v>10</v>
      </c>
      <c r="I45" s="90"/>
      <c r="J45" s="36">
        <f aca="true" t="shared" si="9" ref="J45:AF45">$H$45+J44</f>
        <v>10.174527027027027</v>
      </c>
      <c r="K45" s="36">
        <f t="shared" si="9"/>
        <v>10.348110664718773</v>
      </c>
      <c r="L45" s="36">
        <f t="shared" si="9"/>
        <v>10.520754737626596</v>
      </c>
      <c r="M45" s="36">
        <f t="shared" si="9"/>
        <v>10.69246305651969</v>
      </c>
      <c r="N45" s="36">
        <f t="shared" si="9"/>
        <v>10.863239418431641</v>
      </c>
      <c r="O45" s="36">
        <f t="shared" si="9"/>
        <v>11.03308760670684</v>
      </c>
      <c r="P45" s="36">
        <f t="shared" si="9"/>
        <v>11.202011391046742</v>
      </c>
      <c r="Q45" s="36">
        <f t="shared" si="9"/>
        <v>11.370014527555979</v>
      </c>
      <c r="R45" s="36">
        <f t="shared" si="9"/>
        <v>11.537100758788313</v>
      </c>
      <c r="S45" s="36">
        <f t="shared" si="9"/>
        <v>11.703273813792453</v>
      </c>
      <c r="T45" s="36">
        <f t="shared" si="9"/>
        <v>11.868537408157723</v>
      </c>
      <c r="U45" s="36">
        <f t="shared" si="9"/>
        <v>12.032895244059556</v>
      </c>
      <c r="V45" s="36">
        <f t="shared" si="9"/>
        <v>12.196351010304886</v>
      </c>
      <c r="W45" s="36">
        <f t="shared" si="9"/>
        <v>12.358908382377347</v>
      </c>
      <c r="X45" s="36">
        <f t="shared" si="9"/>
        <v>12.520571022482358</v>
      </c>
      <c r="Y45" s="36">
        <f t="shared" si="9"/>
        <v>12.681342579592044</v>
      </c>
      <c r="Z45" s="36">
        <f t="shared" si="9"/>
        <v>12.841226689490016</v>
      </c>
      <c r="AA45" s="36">
        <f t="shared" si="9"/>
        <v>13.000226974816007</v>
      </c>
      <c r="AB45" s="36">
        <f t="shared" si="9"/>
        <v>13.158347045110364</v>
      </c>
      <c r="AC45" s="36">
        <f t="shared" si="9"/>
        <v>13.315590496858391</v>
      </c>
      <c r="AD45" s="36">
        <f t="shared" si="9"/>
        <v>13.315590496858391</v>
      </c>
      <c r="AE45" s="36">
        <f t="shared" si="9"/>
        <v>13.315590496858391</v>
      </c>
      <c r="AF45" s="36">
        <f t="shared" si="9"/>
        <v>13.315590496858391</v>
      </c>
    </row>
    <row r="46" ht="11.25">
      <c r="A46" s="3" t="s">
        <v>82</v>
      </c>
    </row>
    <row r="48" spans="1:32" ht="11.25">
      <c r="A48" t="s">
        <v>85</v>
      </c>
      <c r="G48" s="19">
        <f>G24</f>
        <v>128.33333333333331</v>
      </c>
      <c r="H48" s="4"/>
      <c r="I48" s="93">
        <f aca="true" t="shared" si="10" ref="I48:AF48">$G$48*(1-$G$42)^(I18/$G$14)</f>
        <v>128.33333333333331</v>
      </c>
      <c r="J48" s="8">
        <f t="shared" si="10"/>
        <v>127.98648648648647</v>
      </c>
      <c r="K48" s="8">
        <f t="shared" si="10"/>
        <v>127.64057706355003</v>
      </c>
      <c r="L48" s="8">
        <f t="shared" si="10"/>
        <v>127.29560253094584</v>
      </c>
      <c r="M48" s="8">
        <f t="shared" si="10"/>
        <v>126.9515603619433</v>
      </c>
      <c r="N48" s="8">
        <f t="shared" si="10"/>
        <v>126.60844803664074</v>
      </c>
      <c r="O48" s="8">
        <f t="shared" si="10"/>
        <v>126.26626304194713</v>
      </c>
      <c r="P48" s="8">
        <f t="shared" si="10"/>
        <v>125.9250028715635</v>
      </c>
      <c r="Q48" s="8">
        <f t="shared" si="10"/>
        <v>125.58466502596467</v>
      </c>
      <c r="R48" s="8">
        <f t="shared" si="10"/>
        <v>125.245247012381</v>
      </c>
      <c r="S48" s="8">
        <f t="shared" si="10"/>
        <v>124.90674634477998</v>
      </c>
      <c r="T48" s="8">
        <f t="shared" si="10"/>
        <v>124.56916054384813</v>
      </c>
      <c r="U48" s="8">
        <f t="shared" si="10"/>
        <v>124.23248713697286</v>
      </c>
      <c r="V48" s="8">
        <f t="shared" si="10"/>
        <v>123.8967236582243</v>
      </c>
      <c r="W48" s="8">
        <f t="shared" si="10"/>
        <v>123.56186764833721</v>
      </c>
      <c r="X48" s="8">
        <f t="shared" si="10"/>
        <v>123.22791665469308</v>
      </c>
      <c r="Y48" s="8">
        <f t="shared" si="10"/>
        <v>122.89486823130201</v>
      </c>
      <c r="Z48" s="8">
        <f t="shared" si="10"/>
        <v>122.56271993878498</v>
      </c>
      <c r="AA48" s="8">
        <f t="shared" si="10"/>
        <v>122.23146934435584</v>
      </c>
      <c r="AB48" s="8">
        <f t="shared" si="10"/>
        <v>121.90111402180354</v>
      </c>
      <c r="AC48" s="8">
        <f t="shared" si="10"/>
        <v>121.57165155147435</v>
      </c>
      <c r="AD48" s="8">
        <f t="shared" si="10"/>
        <v>121.57165155147435</v>
      </c>
      <c r="AE48" s="8">
        <f t="shared" si="10"/>
        <v>121.57165155147435</v>
      </c>
      <c r="AF48" s="8">
        <f t="shared" si="10"/>
        <v>121.57165155147435</v>
      </c>
    </row>
    <row r="49" spans="1:8" ht="12">
      <c r="A49" s="9"/>
      <c r="B49" s="9"/>
      <c r="C49" s="9"/>
      <c r="D49" s="9"/>
      <c r="E49" s="9"/>
      <c r="F49" s="9"/>
      <c r="H49" s="38"/>
    </row>
    <row r="50" spans="1:33" s="9" customFormat="1" ht="12">
      <c r="A50" s="45" t="s">
        <v>113</v>
      </c>
      <c r="G50" s="27"/>
      <c r="I50" s="78"/>
      <c r="J50" s="28"/>
      <c r="K50" s="28"/>
      <c r="L50" s="28"/>
      <c r="M50" s="28"/>
      <c r="N50" s="28"/>
      <c r="O50" s="28"/>
      <c r="P50" s="28"/>
      <c r="Q50" s="28"/>
      <c r="R50" s="28"/>
      <c r="S50" s="28"/>
      <c r="T50" s="28"/>
      <c r="U50" s="28"/>
      <c r="V50" s="28"/>
      <c r="W50" s="28"/>
      <c r="X50" s="28"/>
      <c r="Y50" s="28"/>
      <c r="Z50" s="28"/>
      <c r="AA50" s="28"/>
      <c r="AB50" s="28"/>
      <c r="AC50" s="28"/>
      <c r="AD50" s="28"/>
      <c r="AE50" s="28"/>
      <c r="AF50" s="28"/>
      <c r="AG50" s="28"/>
    </row>
    <row r="51" spans="1:8" ht="12">
      <c r="A51" s="9"/>
      <c r="B51" s="9"/>
      <c r="C51" s="9"/>
      <c r="D51" s="9"/>
      <c r="E51" s="9"/>
      <c r="F51" s="9"/>
      <c r="H51" s="38"/>
    </row>
    <row r="52" spans="1:33" s="9" customFormat="1" ht="12">
      <c r="A52" s="9" t="s">
        <v>209</v>
      </c>
      <c r="G52" s="27"/>
      <c r="I52" s="76"/>
      <c r="J52" s="28">
        <f>J120*J35</f>
        <v>31.43473823034757</v>
      </c>
      <c r="K52" s="28">
        <f>K120*K35</f>
        <v>94.92678136455642</v>
      </c>
      <c r="L52" s="28">
        <f>L120*L35</f>
        <v>191.04478825523594</v>
      </c>
      <c r="M52" s="28">
        <f>M120*M35</f>
        <v>320.303866952326</v>
      </c>
      <c r="N52" s="28">
        <f>N120*N35</f>
        <v>483.1660913287069</v>
      </c>
      <c r="O52" s="28">
        <f>O120*O35</f>
        <v>680.0411687446103</v>
      </c>
      <c r="P52" s="28">
        <f>P120*P35</f>
        <v>911.2872500007087</v>
      </c>
      <c r="Q52" s="28">
        <f>Q120*Q35</f>
        <v>1177.2118726976555</v>
      </c>
      <c r="R52" s="28">
        <f>R120*R35</f>
        <v>1478.0730290340866</v>
      </c>
      <c r="S52" s="28">
        <f>S120*S35</f>
        <v>1814.0803490349613</v>
      </c>
      <c r="T52" s="28">
        <f>T120*T35</f>
        <v>2150.7749404626275</v>
      </c>
      <c r="U52" s="28">
        <f>U120*U35</f>
        <v>2488.373547118898</v>
      </c>
      <c r="V52" s="28">
        <f>V120*V35</f>
        <v>2827.084268058263</v>
      </c>
      <c r="W52" s="28">
        <f>W120*W35</f>
        <v>3139.990205562245</v>
      </c>
      <c r="X52" s="28">
        <f>X120*X35</f>
        <v>3427.0994165988777</v>
      </c>
      <c r="Y52" s="28">
        <f>Y120*Y35</f>
        <v>3688.328529106078</v>
      </c>
      <c r="Z52" s="28">
        <f>Z120*Z35</f>
        <v>3923.5052196362412</v>
      </c>
      <c r="AA52" s="28">
        <f>AA120*AA35</f>
        <v>4132.37015931012</v>
      </c>
      <c r="AB52" s="28">
        <f>AB120*AB35</f>
        <v>4314.578469264263</v>
      </c>
      <c r="AC52" s="28">
        <f>AC120*AC35</f>
        <v>4469.700720756675</v>
      </c>
      <c r="AD52" s="28">
        <f>AD120*AD35</f>
        <v>4597.223509816942</v>
      </c>
      <c r="AE52" s="28">
        <f>AE120*AE35</f>
        <v>4696.549631683048</v>
      </c>
      <c r="AF52" s="28">
        <f>AF120*AF35</f>
        <v>4766.997876158293</v>
      </c>
      <c r="AG52" s="28"/>
    </row>
    <row r="53" spans="1:33" s="9" customFormat="1" ht="12">
      <c r="A53" s="9" t="s">
        <v>197</v>
      </c>
      <c r="I53" s="77"/>
      <c r="J53" s="28">
        <f aca="true" t="shared" si="11" ref="J53:AF53">J35-J52</f>
        <v>36320.49977176852</v>
      </c>
      <c r="K53" s="28">
        <f t="shared" si="11"/>
        <v>36802.286746284284</v>
      </c>
      <c r="L53" s="28">
        <f t="shared" si="11"/>
        <v>37259.626942308336</v>
      </c>
      <c r="M53" s="28">
        <f t="shared" si="11"/>
        <v>37692.1279395697</v>
      </c>
      <c r="N53" s="28">
        <f t="shared" si="11"/>
        <v>38099.452192291144</v>
      </c>
      <c r="O53" s="28">
        <f t="shared" si="11"/>
        <v>38481.31638912953</v>
      </c>
      <c r="P53" s="28">
        <f t="shared" si="11"/>
        <v>38837.49067124155</v>
      </c>
      <c r="Q53" s="28">
        <f t="shared" si="11"/>
        <v>39167.79771736323</v>
      </c>
      <c r="R53" s="28">
        <f t="shared" si="11"/>
        <v>39472.11170487771</v>
      </c>
      <c r="S53" s="28">
        <f t="shared" si="11"/>
        <v>39750.357155885504</v>
      </c>
      <c r="T53" s="28">
        <f t="shared" si="11"/>
        <v>40037.12912703164</v>
      </c>
      <c r="U53" s="28">
        <f t="shared" si="11"/>
        <v>40332.34908138779</v>
      </c>
      <c r="V53" s="28">
        <f t="shared" si="11"/>
        <v>40635.94919987602</v>
      </c>
      <c r="W53" s="28">
        <f t="shared" si="11"/>
        <v>40974.98876439105</v>
      </c>
      <c r="X53" s="28">
        <f t="shared" si="11"/>
        <v>41349.60423790371</v>
      </c>
      <c r="Y53" s="28">
        <f t="shared" si="11"/>
        <v>41760.02568021404</v>
      </c>
      <c r="Z53" s="28">
        <f t="shared" si="11"/>
        <v>42206.574302823676</v>
      </c>
      <c r="AA53" s="28">
        <f t="shared" si="11"/>
        <v>42689.66055598669</v>
      </c>
      <c r="AB53" s="28">
        <f t="shared" si="11"/>
        <v>43209.782706761995</v>
      </c>
      <c r="AC53" s="28">
        <f t="shared" si="11"/>
        <v>43767.52587290997</v>
      </c>
      <c r="AD53" s="28">
        <f t="shared" si="11"/>
        <v>44363.561482754696</v>
      </c>
      <c r="AE53" s="28">
        <f t="shared" si="11"/>
        <v>44998.64713577716</v>
      </c>
      <c r="AF53" s="28">
        <f t="shared" si="11"/>
        <v>45673.626842813814</v>
      </c>
      <c r="AG53" s="28"/>
    </row>
    <row r="54" spans="1:32" s="9" customFormat="1" ht="12">
      <c r="A54" s="9" t="s">
        <v>50</v>
      </c>
      <c r="G54" s="27"/>
      <c r="I54" s="78"/>
      <c r="J54" s="29">
        <f aca="true" t="shared" si="12" ref="J54:AF54">J53*J48/$G$20</f>
        <v>2108.178300780901</v>
      </c>
      <c r="K54" s="29">
        <f t="shared" si="12"/>
        <v>2130.3696678249275</v>
      </c>
      <c r="L54" s="29">
        <f t="shared" si="12"/>
        <v>2151.0143590473485</v>
      </c>
      <c r="M54" s="29">
        <f t="shared" si="12"/>
        <v>2170.1017937824813</v>
      </c>
      <c r="N54" s="29">
        <f t="shared" si="12"/>
        <v>2187.624722499851</v>
      </c>
      <c r="O54" s="29">
        <f t="shared" si="12"/>
        <v>2203.579146208717</v>
      </c>
      <c r="P54" s="29">
        <f t="shared" si="12"/>
        <v>2217.9642287076704</v>
      </c>
      <c r="Q54" s="29">
        <f t="shared" si="12"/>
        <v>2230.7822023309773</v>
      </c>
      <c r="R54" s="29">
        <f t="shared" si="12"/>
        <v>2242.038267835693</v>
      </c>
      <c r="S54" s="29">
        <f t="shared" si="12"/>
        <v>2251.7404890633106</v>
      </c>
      <c r="T54" s="29">
        <f t="shared" si="12"/>
        <v>2261.8555854603096</v>
      </c>
      <c r="U54" s="29">
        <f t="shared" si="12"/>
        <v>2272.375527645083</v>
      </c>
      <c r="V54" s="29">
        <f t="shared" si="12"/>
        <v>2283.2929562842087</v>
      </c>
      <c r="W54" s="29">
        <f t="shared" si="12"/>
        <v>2296.120697776776</v>
      </c>
      <c r="X54" s="29">
        <f t="shared" si="12"/>
        <v>2310.850605321062</v>
      </c>
      <c r="Y54" s="29">
        <f t="shared" si="12"/>
        <v>2327.4797520660736</v>
      </c>
      <c r="Z54" s="29">
        <f t="shared" si="12"/>
        <v>2346.010224876416</v>
      </c>
      <c r="AA54" s="29">
        <f t="shared" si="12"/>
        <v>2366.448950371902</v>
      </c>
      <c r="AB54" s="29">
        <f t="shared" si="12"/>
        <v>2388.8075503829245</v>
      </c>
      <c r="AC54" s="29">
        <f t="shared" si="12"/>
        <v>2413.1022243499087</v>
      </c>
      <c r="AD54" s="29">
        <f t="shared" si="12"/>
        <v>2445.9643710493706</v>
      </c>
      <c r="AE54" s="29">
        <f t="shared" si="12"/>
        <v>2480.979523754399</v>
      </c>
      <c r="AF54" s="29">
        <f t="shared" si="12"/>
        <v>2518.1942166107146</v>
      </c>
    </row>
    <row r="55" spans="1:32" s="9" customFormat="1" ht="12">
      <c r="A55" s="9" t="s">
        <v>56</v>
      </c>
      <c r="G55" s="27"/>
      <c r="I55" s="78"/>
      <c r="J55" s="29">
        <f>J38-J54</f>
        <v>7.542755356598718</v>
      </c>
      <c r="K55" s="29">
        <f>K38-K54</f>
        <v>17.08720415463449</v>
      </c>
      <c r="L55" s="29">
        <f>L38-L54</f>
        <v>28.654366011906404</v>
      </c>
      <c r="M55" s="29">
        <f>M38-M54</f>
        <v>42.26196215266236</v>
      </c>
      <c r="N55" s="29">
        <f>N38-N54</f>
        <v>57.92448977431968</v>
      </c>
      <c r="O55" s="29">
        <f>O38-O54</f>
        <v>75.65330424956665</v>
      </c>
      <c r="P55" s="29">
        <f>P38-P54</f>
        <v>95.45670850748684</v>
      </c>
      <c r="Q55" s="29">
        <f>Q38-Q54</f>
        <v>117.34004894240752</v>
      </c>
      <c r="R55" s="29">
        <f>R38-R54</f>
        <v>141.3058172067922</v>
      </c>
      <c r="S55" s="29">
        <f>S38-S54</f>
        <v>167.35375725481117</v>
      </c>
      <c r="T55" s="29">
        <f>T38-T54</f>
        <v>193.52507455258456</v>
      </c>
      <c r="U55" s="29">
        <f>U38-U54</f>
        <v>219.83584226800394</v>
      </c>
      <c r="V55" s="29">
        <f>V38-V54</f>
        <v>246.30158417757457</v>
      </c>
      <c r="W55" s="29">
        <f>W38-W54</f>
        <v>271.4177607919337</v>
      </c>
      <c r="X55" s="29">
        <f>X38-X54</f>
        <v>295.2009301261778</v>
      </c>
      <c r="Y55" s="29">
        <f>Y38-Y54</f>
        <v>317.66255641287444</v>
      </c>
      <c r="Z55" s="29">
        <f>Z38-Z54</f>
        <v>338.8092182297164</v>
      </c>
      <c r="AA55" s="29">
        <f>AA38-AA54</f>
        <v>358.6427843808219</v>
      </c>
      <c r="AB55" s="29">
        <f>AB38-AB54</f>
        <v>377.1605603910898</v>
      </c>
      <c r="AC55" s="29">
        <f>AC38-AC54</f>
        <v>394.3554080857157</v>
      </c>
      <c r="AD55" s="29">
        <f>AD38-AD54</f>
        <v>403.60512587278754</v>
      </c>
      <c r="AE55" s="29">
        <f>AE38-AE54</f>
        <v>411.33351562159123</v>
      </c>
      <c r="AF55" s="29">
        <f>AF38-AF54</f>
        <v>417.5035183559153</v>
      </c>
    </row>
    <row r="56" spans="1:32" s="9" customFormat="1" ht="12">
      <c r="A56" s="9" t="s">
        <v>242</v>
      </c>
      <c r="G56" s="27"/>
      <c r="I56" s="78"/>
      <c r="J56" s="29">
        <f>$J$38-J54</f>
        <v>7.542755356598718</v>
      </c>
      <c r="K56" s="29">
        <f>$J$38-K54</f>
        <v>-14.648611687428001</v>
      </c>
      <c r="L56" s="29">
        <f>$J$38-L54</f>
        <v>-35.29330290984899</v>
      </c>
      <c r="M56" s="29">
        <f>$J$38-M54</f>
        <v>-54.380737644981764</v>
      </c>
      <c r="N56" s="29">
        <f>$J$38-N54</f>
        <v>-71.90366636235149</v>
      </c>
      <c r="O56" s="29">
        <f>$J$38-O54</f>
        <v>-87.85809007121725</v>
      </c>
      <c r="P56" s="29">
        <f>$J$38-P54</f>
        <v>-102.24317257017083</v>
      </c>
      <c r="Q56" s="29">
        <f>$J$38-Q54</f>
        <v>-115.06114619347773</v>
      </c>
      <c r="R56" s="29">
        <f>$J$38-R54</f>
        <v>-126.31721169819366</v>
      </c>
      <c r="S56" s="29">
        <f>$J$38-S54</f>
        <v>-136.0194329258111</v>
      </c>
      <c r="T56" s="29">
        <f>$J$38-T54</f>
        <v>-146.13452932281007</v>
      </c>
      <c r="U56" s="29">
        <f>$J$38-U54</f>
        <v>-156.65447150758337</v>
      </c>
      <c r="V56" s="29">
        <f>$J$38-V54</f>
        <v>-167.57190014670914</v>
      </c>
      <c r="W56" s="29">
        <f>$J$38-W54</f>
        <v>-180.39964163927652</v>
      </c>
      <c r="X56" s="29">
        <f>$J$38-X54</f>
        <v>-195.12954918356263</v>
      </c>
      <c r="Y56" s="29">
        <f>$J$38-Y54</f>
        <v>-211.75869592857407</v>
      </c>
      <c r="Z56" s="29">
        <f>$J$38-Z54</f>
        <v>-230.2891687389165</v>
      </c>
      <c r="AA56" s="29">
        <f>$J$38-AA54</f>
        <v>-250.72789423440236</v>
      </c>
      <c r="AB56" s="29">
        <f>$J$38-AB54</f>
        <v>-273.086494245425</v>
      </c>
      <c r="AC56" s="29">
        <f>$J$38-AC54</f>
        <v>-297.3811682124092</v>
      </c>
      <c r="AD56" s="29">
        <f>$J$38-AD54</f>
        <v>-330.24331491187104</v>
      </c>
      <c r="AE56" s="29">
        <f>$J$38-AE54</f>
        <v>-365.25846761689945</v>
      </c>
      <c r="AF56" s="29">
        <f>$J$38-AF54</f>
        <v>-402.4731604732151</v>
      </c>
    </row>
    <row r="57" spans="1:33" s="9" customFormat="1" ht="12">
      <c r="A57" s="9" t="s">
        <v>55</v>
      </c>
      <c r="G57" s="27"/>
      <c r="I57" s="78"/>
      <c r="J57" s="51">
        <f>J54*$G$20*1000000*J18/($G$19*2000*1000000)</f>
        <v>6338.908845302573</v>
      </c>
      <c r="K57" s="51">
        <f>K54*$G$20*1000000*K18/($G$19*2000*1000000)</f>
        <v>12811.268502419905</v>
      </c>
      <c r="L57" s="51">
        <f>L54*$G$20*1000000*L18/($G$19*2000*1000000)</f>
        <v>19403.12725240665</v>
      </c>
      <c r="M57" s="51">
        <f>M54*$G$20*1000000*M18/($G$19*2000*1000000)</f>
        <v>26100.406119765663</v>
      </c>
      <c r="N57" s="51">
        <f>N54*$G$20*1000000*N18/($G$19*2000*1000000)</f>
        <v>32888.948953037536</v>
      </c>
      <c r="O57" s="51">
        <f>O54*$G$20*1000000*O18/($G$19*2000*1000000)</f>
        <v>39754.571051374536</v>
      </c>
      <c r="P57" s="51">
        <f>P54*$G$20*1000000*P18/($G$19*2000*1000000)</f>
        <v>46683.106186503945</v>
      </c>
      <c r="Q57" s="51">
        <f>Q54*$G$20*1000000*Q18/($G$19*2000*1000000)</f>
        <v>53660.45188516151</v>
      </c>
      <c r="R57" s="51">
        <f>R54*$G$20*1000000*R18/($G$19*2000*1000000)</f>
        <v>60672.61285254455</v>
      </c>
      <c r="S57" s="51">
        <f>S54*$G$20*1000000*S18/($G$19*2000*1000000)</f>
        <v>67705.74243251726</v>
      </c>
      <c r="T57" s="51">
        <f>T54*$G$20*1000000*T18/($G$19*2000*1000000)</f>
        <v>74810.87348909974</v>
      </c>
      <c r="U57" s="51">
        <f>U54*$G$20*1000000*U18/($G$19*2000*1000000)</f>
        <v>81991.44062930303</v>
      </c>
      <c r="V57" s="51">
        <f>V54*$G$20*1000000*V18/($G$19*2000*1000000)</f>
        <v>89250.8080798457</v>
      </c>
      <c r="W57" s="51">
        <f>W54*$G$20*1000000*W18/($G$19*2000*1000000)</f>
        <v>96656.24446413966</v>
      </c>
      <c r="X57" s="133">
        <f>X54*$G$20*1000000*X18/($G$19*2000*1000000)</f>
        <v>104224.61423317382</v>
      </c>
      <c r="Y57" s="133">
        <f>Y54*$G$20*1000000*Y18/($G$19*2000*1000000)</f>
        <v>111972.9349812151</v>
      </c>
      <c r="Z57" s="133">
        <f>Z54*$G$20*1000000*Z18/($G$19*2000*1000000)</f>
        <v>119918.44538112608</v>
      </c>
      <c r="AA57" s="133">
        <f>AA54*$G$20*1000000*AA18/($G$19*2000*1000000)</f>
        <v>128078.67114581016</v>
      </c>
      <c r="AB57" s="133">
        <f>AB54*$G$20*1000000*AB18/($G$19*2000*1000000)</f>
        <v>136471.48953176267</v>
      </c>
      <c r="AC57" s="133">
        <f>AC54*$G$20*1000000*AC18/($G$19*2000*1000000)</f>
        <v>145115.19285522407</v>
      </c>
      <c r="AD57" s="133">
        <f>AD54*$G$20*1000000*AD18/($G$19*2000*1000000)</f>
        <v>147091.40285901443</v>
      </c>
      <c r="AE57" s="133">
        <f>AE54*$G$20*1000000*AE18/($G$19*2000*1000000)</f>
        <v>149197.08681486684</v>
      </c>
      <c r="AF57" s="133">
        <f>AF54*$G$20*1000000*AF18/($G$19*2000*1000000)</f>
        <v>151435.0431170898</v>
      </c>
      <c r="AG57" s="28"/>
    </row>
    <row r="58" spans="1:33" s="9" customFormat="1" ht="12">
      <c r="A58" s="45" t="s">
        <v>284</v>
      </c>
      <c r="G58" s="27"/>
      <c r="I58" s="78"/>
      <c r="J58" s="28"/>
      <c r="K58" s="28"/>
      <c r="L58" s="28"/>
      <c r="M58" s="28"/>
      <c r="N58" s="28"/>
      <c r="O58" s="28"/>
      <c r="P58" s="28"/>
      <c r="Q58" s="28"/>
      <c r="R58" s="28"/>
      <c r="S58" s="28"/>
      <c r="T58" s="28"/>
      <c r="U58" s="28"/>
      <c r="V58" s="28"/>
      <c r="W58" s="28"/>
      <c r="X58" s="28"/>
      <c r="Y58" s="28"/>
      <c r="Z58" s="28"/>
      <c r="AA58" s="28"/>
      <c r="AB58" s="28"/>
      <c r="AC58" s="28"/>
      <c r="AD58" s="28"/>
      <c r="AE58" s="28"/>
      <c r="AF58" s="28"/>
      <c r="AG58" s="28"/>
    </row>
    <row r="59" spans="1:33" s="9" customFormat="1" ht="12">
      <c r="A59" s="45" t="s">
        <v>284</v>
      </c>
      <c r="G59" s="27"/>
      <c r="I59" s="78"/>
      <c r="J59" s="28"/>
      <c r="K59" s="28"/>
      <c r="L59" s="28"/>
      <c r="M59" s="28"/>
      <c r="N59" s="28"/>
      <c r="O59" s="28"/>
      <c r="P59" s="28"/>
      <c r="Q59" s="28"/>
      <c r="R59" s="28"/>
      <c r="S59" s="28"/>
      <c r="T59" s="28"/>
      <c r="U59" s="28"/>
      <c r="V59" s="28"/>
      <c r="W59" s="28"/>
      <c r="X59" s="28"/>
      <c r="Y59" s="28"/>
      <c r="Z59" s="28"/>
      <c r="AA59" s="28"/>
      <c r="AB59" s="28"/>
      <c r="AC59" s="28"/>
      <c r="AD59" s="28"/>
      <c r="AE59" s="28"/>
      <c r="AF59" s="28"/>
      <c r="AG59" s="28"/>
    </row>
    <row r="60" spans="7:33" s="9" customFormat="1" ht="12">
      <c r="G60" s="27"/>
      <c r="I60" s="78"/>
      <c r="J60" s="28"/>
      <c r="K60" s="28"/>
      <c r="L60" s="28"/>
      <c r="M60" s="28"/>
      <c r="N60" s="28"/>
      <c r="O60" s="28"/>
      <c r="P60" s="28"/>
      <c r="Q60" s="28"/>
      <c r="R60" s="28"/>
      <c r="S60" s="28"/>
      <c r="T60" s="28"/>
      <c r="U60" s="28"/>
      <c r="V60" s="28"/>
      <c r="W60" s="28"/>
      <c r="X60" s="28"/>
      <c r="Y60" s="28"/>
      <c r="Z60" s="28"/>
      <c r="AA60" s="28"/>
      <c r="AB60" s="28"/>
      <c r="AC60" s="28"/>
      <c r="AD60" s="28"/>
      <c r="AE60" s="28"/>
      <c r="AF60" s="28"/>
      <c r="AG60" s="28"/>
    </row>
    <row r="61" spans="1:32" ht="11.25">
      <c r="A61" t="s">
        <v>83</v>
      </c>
      <c r="H61" s="42"/>
      <c r="J61" s="42">
        <f>J45/H45-1</f>
        <v>0.017452702702702716</v>
      </c>
      <c r="K61" s="42">
        <f aca="true" t="shared" si="13" ref="K61:AF61">K45/J45-1</f>
        <v>0.01706061001466197</v>
      </c>
      <c r="L61" s="42">
        <f t="shared" si="13"/>
        <v>0.016683632259214543</v>
      </c>
      <c r="M61" s="42">
        <f t="shared" si="13"/>
        <v>0.016320912631770934</v>
      </c>
      <c r="N61" s="42">
        <f t="shared" si="13"/>
        <v>0.015971657887358326</v>
      </c>
      <c r="O61" s="42">
        <f t="shared" si="13"/>
        <v>0.015635132554200792</v>
      </c>
      <c r="P61" s="42">
        <f t="shared" si="13"/>
        <v>0.015310653768145333</v>
      </c>
      <c r="Q61" s="42">
        <f t="shared" si="13"/>
        <v>0.01499758665158235</v>
      </c>
      <c r="R61" s="42">
        <f t="shared" si="13"/>
        <v>0.014695340171060334</v>
      </c>
      <c r="S61" s="42">
        <f t="shared" si="13"/>
        <v>0.014403363416719772</v>
      </c>
      <c r="T61" s="42">
        <f t="shared" si="13"/>
        <v>0.014121142254272856</v>
      </c>
      <c r="U61" s="42">
        <f t="shared" si="13"/>
        <v>0.013848196306721405</v>
      </c>
      <c r="V61" s="42">
        <f t="shared" si="13"/>
        <v>0.013584076228539077</v>
      </c>
      <c r="W61" s="42">
        <f t="shared" si="13"/>
        <v>0.013328361239776987</v>
      </c>
      <c r="X61" s="42">
        <f t="shared" si="13"/>
        <v>0.013080656891633513</v>
      </c>
      <c r="Y61" s="42">
        <f t="shared" si="13"/>
        <v>0.012840593038528247</v>
      </c>
      <c r="Z61" s="42">
        <f t="shared" si="13"/>
        <v>0.012607821994752522</v>
      </c>
      <c r="AA61" s="42">
        <f t="shared" si="13"/>
        <v>0.012382016856389955</v>
      </c>
      <c r="AB61" s="42">
        <f t="shared" si="13"/>
        <v>0.012162869971475754</v>
      </c>
      <c r="AC61" s="42">
        <f t="shared" si="13"/>
        <v>0.01195009154333393</v>
      </c>
      <c r="AD61" s="42">
        <f t="shared" si="13"/>
        <v>0</v>
      </c>
      <c r="AE61" s="42">
        <f t="shared" si="13"/>
        <v>0</v>
      </c>
      <c r="AF61" s="42">
        <f t="shared" si="13"/>
        <v>0</v>
      </c>
    </row>
    <row r="62" spans="8:32" ht="11.25">
      <c r="H62" s="42"/>
      <c r="J62" s="42"/>
      <c r="K62" s="42"/>
      <c r="L62" s="42"/>
      <c r="M62" s="42"/>
      <c r="N62" s="42"/>
      <c r="O62" s="42"/>
      <c r="P62" s="42"/>
      <c r="Q62" s="42"/>
      <c r="R62" s="42"/>
      <c r="S62" s="42"/>
      <c r="T62" s="42"/>
      <c r="U62" s="42"/>
      <c r="V62" s="42"/>
      <c r="W62" s="42"/>
      <c r="X62" s="42"/>
      <c r="Y62" s="42"/>
      <c r="Z62" s="42"/>
      <c r="AA62" s="42"/>
      <c r="AB62" s="42"/>
      <c r="AC62" s="42"/>
      <c r="AD62" s="42"/>
      <c r="AE62" s="42"/>
      <c r="AF62" s="42"/>
    </row>
    <row r="63" spans="1:7" ht="11.25">
      <c r="A63" s="100" t="s">
        <v>65</v>
      </c>
      <c r="G63" s="101">
        <v>0.5</v>
      </c>
    </row>
    <row r="64" spans="1:9" ht="11.25">
      <c r="A64" s="137" t="s">
        <v>21</v>
      </c>
      <c r="B64" s="138"/>
      <c r="C64" s="138"/>
      <c r="D64" s="138"/>
      <c r="E64" s="138"/>
      <c r="F64" s="138"/>
      <c r="G64" s="138"/>
      <c r="H64" s="138"/>
      <c r="I64" s="139"/>
    </row>
    <row r="65" spans="1:9" ht="11.25">
      <c r="A65" s="138"/>
      <c r="B65" s="138"/>
      <c r="C65" s="138"/>
      <c r="D65" s="138"/>
      <c r="E65" s="138"/>
      <c r="F65" s="138"/>
      <c r="G65" s="138"/>
      <c r="H65" s="138"/>
      <c r="I65" s="139"/>
    </row>
    <row r="66" spans="1:7" ht="11.25">
      <c r="A66" s="3"/>
      <c r="G66" s="5"/>
    </row>
    <row r="67" spans="1:22" ht="11.25">
      <c r="A67" s="100" t="s">
        <v>58</v>
      </c>
      <c r="G67" s="100">
        <v>10</v>
      </c>
      <c r="L67" s="150" t="s">
        <v>16</v>
      </c>
      <c r="M67" s="138"/>
      <c r="N67" s="138"/>
      <c r="O67" s="138"/>
      <c r="P67" s="138"/>
      <c r="Q67" s="138"/>
      <c r="R67" s="138"/>
      <c r="S67" s="138"/>
      <c r="T67" s="138"/>
      <c r="U67" s="138"/>
      <c r="V67" s="138"/>
    </row>
    <row r="68" spans="1:22" ht="11.25">
      <c r="A68" s="3"/>
      <c r="L68" s="138"/>
      <c r="M68" s="138"/>
      <c r="N68" s="138"/>
      <c r="O68" s="138"/>
      <c r="P68" s="138"/>
      <c r="Q68" s="138"/>
      <c r="R68" s="138"/>
      <c r="S68" s="138"/>
      <c r="T68" s="138"/>
      <c r="U68" s="138"/>
      <c r="V68" s="138"/>
    </row>
    <row r="69" spans="12:22" ht="11.25">
      <c r="L69" s="138"/>
      <c r="M69" s="138"/>
      <c r="N69" s="138"/>
      <c r="O69" s="138"/>
      <c r="P69" s="138"/>
      <c r="Q69" s="138"/>
      <c r="R69" s="138"/>
      <c r="S69" s="138"/>
      <c r="T69" s="138"/>
      <c r="U69" s="138"/>
      <c r="V69" s="138"/>
    </row>
    <row r="70" spans="1:22" s="114" customFormat="1" ht="11.25">
      <c r="A70" s="114" t="s">
        <v>45</v>
      </c>
      <c r="G70" s="114">
        <f>J10</f>
        <v>2008</v>
      </c>
      <c r="I70" s="118"/>
      <c r="L70" s="138"/>
      <c r="M70" s="138"/>
      <c r="N70" s="138"/>
      <c r="O70" s="138"/>
      <c r="P70" s="138"/>
      <c r="Q70" s="138"/>
      <c r="R70" s="138"/>
      <c r="S70" s="138"/>
      <c r="T70" s="138"/>
      <c r="U70" s="138"/>
      <c r="V70" s="138"/>
    </row>
    <row r="72" spans="1:32" s="41" customFormat="1" ht="11.25">
      <c r="A72" s="30" t="s">
        <v>112</v>
      </c>
      <c r="B72" s="6"/>
      <c r="C72" s="6"/>
      <c r="D72" s="6"/>
      <c r="E72" s="6"/>
      <c r="F72" s="6"/>
      <c r="G72">
        <f>G70</f>
        <v>2008</v>
      </c>
      <c r="I72" s="91"/>
      <c r="J72" s="6">
        <f>IF(J10&gt;=Summary!$H$67+$G$67,$G$63,((J10-$G$70+1)/$G$67)*$G$63)</f>
        <v>0.05</v>
      </c>
      <c r="K72" s="6">
        <f>IF(K10&gt;=Summary!$H$67+$G$67,$G$63,((K10-$G$70+1)/$G$67)*$G$63)</f>
        <v>0.1</v>
      </c>
      <c r="L72" s="6">
        <f>IF(L10&gt;=Summary!$H$67+$G$67,$G$63,((L10-$G$70+1)/$G$67)*$G$63)</f>
        <v>0.15</v>
      </c>
      <c r="M72" s="6">
        <f>IF(M10&gt;=Summary!$H$67+$G$67,$G$63,((M10-$G$70+1)/$G$67)*$G$63)</f>
        <v>0.2</v>
      </c>
      <c r="N72" s="6">
        <f>IF(N10&gt;=Summary!$H$67+$G$67,$G$63,((N10-$G$70+1)/$G$67)*$G$63)</f>
        <v>0.25</v>
      </c>
      <c r="O72" s="6">
        <f>IF(O10&gt;=Summary!$H$67+$G$67,$G$63,((O10-$G$70+1)/$G$67)*$G$63)</f>
        <v>0.3</v>
      </c>
      <c r="P72" s="6">
        <f>IF(P10&gt;=Summary!$H$67+$G$67,$G$63,((P10-$G$70+1)/$G$67)*$G$63)</f>
        <v>0.35</v>
      </c>
      <c r="Q72" s="6">
        <f>IF(Q10&gt;=Summary!$H$67+$G$67,$G$63,((Q10-$G$70+1)/$G$67)*$G$63)</f>
        <v>0.4</v>
      </c>
      <c r="R72" s="6">
        <f>IF(R10&gt;=Summary!$H$67+$G$67,$G$63,((R10-$G$70+1)/$G$67)*$G$63)</f>
        <v>0.45</v>
      </c>
      <c r="S72" s="6">
        <f>IF(S10&gt;=Summary!$H$67+$G$67,$G$63,((S10-$G$70+1)/$G$67)*$G$63)</f>
        <v>0.5</v>
      </c>
      <c r="T72" s="6">
        <f>IF(T10&gt;=Summary!$H$67+$G$67,$G$63,((T10-$G$70+1)/$G$67)*$G$63)</f>
        <v>0.5</v>
      </c>
      <c r="U72" s="6">
        <f>IF(U10&gt;=Summary!$H$67+$G$67,$G$63,((U10-$G$70+1)/$G$67)*$G$63)</f>
        <v>0.5</v>
      </c>
      <c r="V72" s="6">
        <f>IF(V10&gt;=Summary!$H$67+$G$67,$G$63,((V10-$G$70+1)/$G$67)*$G$63)</f>
        <v>0.5</v>
      </c>
      <c r="W72" s="6">
        <f>IF(W10&gt;=Summary!$H$67+$G$67,$G$63,((W10-$G$70+1)/$G$67)*$G$63)</f>
        <v>0.5</v>
      </c>
      <c r="X72" s="6">
        <f>IF(X10&gt;=Summary!$H$67+$G$67,$G$63,((X10-$G$70+1)/$G$67)*$G$63)</f>
        <v>0.5</v>
      </c>
      <c r="Y72" s="6">
        <f>IF(Y10&gt;=Summary!$H$67+$G$67,$G$63,((Y10-$G$70+1)/$G$67)*$G$63)</f>
        <v>0.5</v>
      </c>
      <c r="Z72" s="6">
        <f>IF(Z10&gt;=Summary!$H$67+$G$67,$G$63,((Z10-$G$70+1)/$G$67)*$G$63)</f>
        <v>0.5</v>
      </c>
      <c r="AA72" s="6">
        <f>IF(AA10&gt;=Summary!$H$67+$G$67,$G$63,((AA10-$G$70+1)/$G$67)*$G$63)</f>
        <v>0.5</v>
      </c>
      <c r="AB72" s="6">
        <f>IF(AB10&gt;=Summary!$H$67+$G$67,$G$63,((AB10-$G$70+1)/$G$67)*$G$63)</f>
        <v>0.5</v>
      </c>
      <c r="AC72" s="6">
        <f>IF(AC10&gt;=Summary!$H$67+$G$67,$G$63,((AC10-$G$70+1)/$G$67)*$G$63)</f>
        <v>0.5</v>
      </c>
      <c r="AD72" s="6">
        <f>IF(AD10&gt;=Summary!$H$67+$G$67,$G$63,((AD10-$G$70+1)/$G$67)*$G$63)</f>
        <v>0.5</v>
      </c>
      <c r="AE72" s="6">
        <f>IF(AE10&gt;=Summary!$H$67+$G$67,$G$63,((AE10-$G$70+1)/$G$67)*$G$63)</f>
        <v>0.5</v>
      </c>
      <c r="AF72" s="6">
        <f>IF(AF10&gt;=Summary!$H$67+$G$67,$G$63,((AF10-$G$70+1)/$G$67)*$G$63)</f>
        <v>0.5</v>
      </c>
    </row>
    <row r="73" spans="1:32" s="41" customFormat="1" ht="11.25">
      <c r="A73" s="30" t="s">
        <v>112</v>
      </c>
      <c r="F73"/>
      <c r="G73">
        <f>G72+1</f>
        <v>2009</v>
      </c>
      <c r="I73" s="91"/>
      <c r="J73" s="6"/>
      <c r="K73" s="6">
        <f aca="true" t="shared" si="14" ref="K73:Z73">J72</f>
        <v>0.05</v>
      </c>
      <c r="L73" s="6">
        <f t="shared" si="14"/>
        <v>0.1</v>
      </c>
      <c r="M73" s="6">
        <f t="shared" si="14"/>
        <v>0.15</v>
      </c>
      <c r="N73" s="6">
        <f t="shared" si="14"/>
        <v>0.2</v>
      </c>
      <c r="O73" s="6">
        <f t="shared" si="14"/>
        <v>0.25</v>
      </c>
      <c r="P73" s="6">
        <f t="shared" si="14"/>
        <v>0.3</v>
      </c>
      <c r="Q73" s="6">
        <f t="shared" si="14"/>
        <v>0.35</v>
      </c>
      <c r="R73" s="6">
        <f t="shared" si="14"/>
        <v>0.4</v>
      </c>
      <c r="S73" s="6">
        <f t="shared" si="14"/>
        <v>0.45</v>
      </c>
      <c r="T73" s="6">
        <f t="shared" si="14"/>
        <v>0.5</v>
      </c>
      <c r="U73" s="6">
        <f t="shared" si="14"/>
        <v>0.5</v>
      </c>
      <c r="V73" s="6">
        <f t="shared" si="14"/>
        <v>0.5</v>
      </c>
      <c r="W73" s="6">
        <f t="shared" si="14"/>
        <v>0.5</v>
      </c>
      <c r="X73" s="6">
        <f t="shared" si="14"/>
        <v>0.5</v>
      </c>
      <c r="Y73" s="6">
        <f t="shared" si="14"/>
        <v>0.5</v>
      </c>
      <c r="Z73" s="6">
        <f t="shared" si="14"/>
        <v>0.5</v>
      </c>
      <c r="AA73" s="6">
        <f aca="true" t="shared" si="15" ref="Q73:AF84">Z72</f>
        <v>0.5</v>
      </c>
      <c r="AB73" s="6">
        <f t="shared" si="15"/>
        <v>0.5</v>
      </c>
      <c r="AC73" s="6">
        <f t="shared" si="15"/>
        <v>0.5</v>
      </c>
      <c r="AD73" s="6">
        <f t="shared" si="15"/>
        <v>0.5</v>
      </c>
      <c r="AE73" s="6">
        <f t="shared" si="15"/>
        <v>0.5</v>
      </c>
      <c r="AF73" s="6">
        <f t="shared" si="15"/>
        <v>0.5</v>
      </c>
    </row>
    <row r="74" spans="1:32" s="41" customFormat="1" ht="11.25">
      <c r="A74" s="30" t="s">
        <v>112</v>
      </c>
      <c r="F74"/>
      <c r="G74">
        <f aca="true" t="shared" si="16" ref="G74:G94">G73+1</f>
        <v>2010</v>
      </c>
      <c r="I74" s="91"/>
      <c r="J74" s="6"/>
      <c r="K74" s="6"/>
      <c r="L74" s="6">
        <f aca="true" t="shared" si="17" ref="L74:Z74">K73</f>
        <v>0.05</v>
      </c>
      <c r="M74" s="6">
        <f t="shared" si="17"/>
        <v>0.1</v>
      </c>
      <c r="N74" s="6">
        <f t="shared" si="17"/>
        <v>0.15</v>
      </c>
      <c r="O74" s="6">
        <f t="shared" si="17"/>
        <v>0.2</v>
      </c>
      <c r="P74" s="6">
        <f t="shared" si="17"/>
        <v>0.25</v>
      </c>
      <c r="Q74" s="6">
        <f t="shared" si="17"/>
        <v>0.3</v>
      </c>
      <c r="R74" s="6">
        <f t="shared" si="17"/>
        <v>0.35</v>
      </c>
      <c r="S74" s="6">
        <f t="shared" si="17"/>
        <v>0.4</v>
      </c>
      <c r="T74" s="6">
        <f t="shared" si="17"/>
        <v>0.45</v>
      </c>
      <c r="U74" s="6">
        <f t="shared" si="17"/>
        <v>0.5</v>
      </c>
      <c r="V74" s="6">
        <f t="shared" si="17"/>
        <v>0.5</v>
      </c>
      <c r="W74" s="6">
        <f t="shared" si="17"/>
        <v>0.5</v>
      </c>
      <c r="X74" s="6">
        <f t="shared" si="17"/>
        <v>0.5</v>
      </c>
      <c r="Y74" s="6">
        <f t="shared" si="17"/>
        <v>0.5</v>
      </c>
      <c r="Z74" s="6">
        <f t="shared" si="17"/>
        <v>0.5</v>
      </c>
      <c r="AA74" s="6">
        <f t="shared" si="15"/>
        <v>0.5</v>
      </c>
      <c r="AB74" s="6">
        <f t="shared" si="15"/>
        <v>0.5</v>
      </c>
      <c r="AC74" s="6">
        <f t="shared" si="15"/>
        <v>0.5</v>
      </c>
      <c r="AD74" s="6">
        <f t="shared" si="15"/>
        <v>0.5</v>
      </c>
      <c r="AE74" s="6">
        <f t="shared" si="15"/>
        <v>0.5</v>
      </c>
      <c r="AF74" s="6">
        <f t="shared" si="15"/>
        <v>0.5</v>
      </c>
    </row>
    <row r="75" spans="1:32" s="41" customFormat="1" ht="11.25">
      <c r="A75" s="30" t="s">
        <v>112</v>
      </c>
      <c r="F75"/>
      <c r="G75">
        <f t="shared" si="16"/>
        <v>2011</v>
      </c>
      <c r="H75"/>
      <c r="I75" s="91"/>
      <c r="J75" s="6"/>
      <c r="K75" s="6"/>
      <c r="L75" s="6"/>
      <c r="M75" s="6">
        <f aca="true" t="shared" si="18" ref="M75:Z75">L74</f>
        <v>0.05</v>
      </c>
      <c r="N75" s="6">
        <f t="shared" si="18"/>
        <v>0.1</v>
      </c>
      <c r="O75" s="6">
        <f t="shared" si="18"/>
        <v>0.15</v>
      </c>
      <c r="P75" s="6">
        <f t="shared" si="18"/>
        <v>0.2</v>
      </c>
      <c r="Q75" s="6">
        <f t="shared" si="18"/>
        <v>0.25</v>
      </c>
      <c r="R75" s="6">
        <f t="shared" si="18"/>
        <v>0.3</v>
      </c>
      <c r="S75" s="6">
        <f t="shared" si="18"/>
        <v>0.35</v>
      </c>
      <c r="T75" s="6">
        <f t="shared" si="18"/>
        <v>0.4</v>
      </c>
      <c r="U75" s="6">
        <f t="shared" si="18"/>
        <v>0.45</v>
      </c>
      <c r="V75" s="6">
        <f t="shared" si="18"/>
        <v>0.5</v>
      </c>
      <c r="W75" s="6">
        <f t="shared" si="18"/>
        <v>0.5</v>
      </c>
      <c r="X75" s="6">
        <f t="shared" si="18"/>
        <v>0.5</v>
      </c>
      <c r="Y75" s="6">
        <f t="shared" si="18"/>
        <v>0.5</v>
      </c>
      <c r="Z75" s="6">
        <f t="shared" si="18"/>
        <v>0.5</v>
      </c>
      <c r="AA75" s="6">
        <f t="shared" si="15"/>
        <v>0.5</v>
      </c>
      <c r="AB75" s="6">
        <f t="shared" si="15"/>
        <v>0.5</v>
      </c>
      <c r="AC75" s="6">
        <f t="shared" si="15"/>
        <v>0.5</v>
      </c>
      <c r="AD75" s="6">
        <f t="shared" si="15"/>
        <v>0.5</v>
      </c>
      <c r="AE75" s="6">
        <f t="shared" si="15"/>
        <v>0.5</v>
      </c>
      <c r="AF75" s="6">
        <f t="shared" si="15"/>
        <v>0.5</v>
      </c>
    </row>
    <row r="76" spans="1:32" s="41" customFormat="1" ht="11.25">
      <c r="A76" s="30" t="s">
        <v>112</v>
      </c>
      <c r="F76"/>
      <c r="G76">
        <f t="shared" si="16"/>
        <v>2012</v>
      </c>
      <c r="H76"/>
      <c r="I76" s="91"/>
      <c r="J76" s="6"/>
      <c r="K76" s="6"/>
      <c r="L76" s="6"/>
      <c r="M76" s="6"/>
      <c r="N76" s="6">
        <f aca="true" t="shared" si="19" ref="N76:Z76">M75</f>
        <v>0.05</v>
      </c>
      <c r="O76" s="6">
        <f t="shared" si="19"/>
        <v>0.1</v>
      </c>
      <c r="P76" s="6">
        <f t="shared" si="19"/>
        <v>0.15</v>
      </c>
      <c r="Q76" s="6">
        <f t="shared" si="19"/>
        <v>0.2</v>
      </c>
      <c r="R76" s="6">
        <f t="shared" si="19"/>
        <v>0.25</v>
      </c>
      <c r="S76" s="6">
        <f t="shared" si="19"/>
        <v>0.3</v>
      </c>
      <c r="T76" s="6">
        <f t="shared" si="19"/>
        <v>0.35</v>
      </c>
      <c r="U76" s="6">
        <f t="shared" si="19"/>
        <v>0.4</v>
      </c>
      <c r="V76" s="6">
        <f t="shared" si="19"/>
        <v>0.45</v>
      </c>
      <c r="W76" s="6">
        <f t="shared" si="19"/>
        <v>0.5</v>
      </c>
      <c r="X76" s="6">
        <f t="shared" si="19"/>
        <v>0.5</v>
      </c>
      <c r="Y76" s="6">
        <f t="shared" si="19"/>
        <v>0.5</v>
      </c>
      <c r="Z76" s="6">
        <f t="shared" si="19"/>
        <v>0.5</v>
      </c>
      <c r="AA76" s="6">
        <f t="shared" si="15"/>
        <v>0.5</v>
      </c>
      <c r="AB76" s="6">
        <f t="shared" si="15"/>
        <v>0.5</v>
      </c>
      <c r="AC76" s="6">
        <f t="shared" si="15"/>
        <v>0.5</v>
      </c>
      <c r="AD76" s="6">
        <f t="shared" si="15"/>
        <v>0.5</v>
      </c>
      <c r="AE76" s="6">
        <f t="shared" si="15"/>
        <v>0.5</v>
      </c>
      <c r="AF76" s="6">
        <f t="shared" si="15"/>
        <v>0.5</v>
      </c>
    </row>
    <row r="77" spans="1:32" s="41" customFormat="1" ht="11.25">
      <c r="A77" s="30" t="s">
        <v>112</v>
      </c>
      <c r="F77"/>
      <c r="G77">
        <f t="shared" si="16"/>
        <v>2013</v>
      </c>
      <c r="H77"/>
      <c r="I77" s="91"/>
      <c r="J77" s="6"/>
      <c r="K77" s="6"/>
      <c r="L77" s="6"/>
      <c r="M77" s="6"/>
      <c r="N77" s="6"/>
      <c r="O77" s="6">
        <f aca="true" t="shared" si="20" ref="O77:Z77">N76</f>
        <v>0.05</v>
      </c>
      <c r="P77" s="6">
        <f t="shared" si="20"/>
        <v>0.1</v>
      </c>
      <c r="Q77" s="6">
        <f t="shared" si="20"/>
        <v>0.15</v>
      </c>
      <c r="R77" s="6">
        <f t="shared" si="20"/>
        <v>0.2</v>
      </c>
      <c r="S77" s="6">
        <f t="shared" si="20"/>
        <v>0.25</v>
      </c>
      <c r="T77" s="6">
        <f t="shared" si="20"/>
        <v>0.3</v>
      </c>
      <c r="U77" s="6">
        <f t="shared" si="20"/>
        <v>0.35</v>
      </c>
      <c r="V77" s="6">
        <f t="shared" si="20"/>
        <v>0.4</v>
      </c>
      <c r="W77" s="6">
        <f t="shared" si="20"/>
        <v>0.45</v>
      </c>
      <c r="X77" s="6">
        <f t="shared" si="20"/>
        <v>0.5</v>
      </c>
      <c r="Y77" s="6">
        <f t="shared" si="20"/>
        <v>0.5</v>
      </c>
      <c r="Z77" s="6">
        <f t="shared" si="20"/>
        <v>0.5</v>
      </c>
      <c r="AA77" s="6">
        <f t="shared" si="15"/>
        <v>0.5</v>
      </c>
      <c r="AB77" s="6">
        <f t="shared" si="15"/>
        <v>0.5</v>
      </c>
      <c r="AC77" s="6">
        <f t="shared" si="15"/>
        <v>0.5</v>
      </c>
      <c r="AD77" s="6">
        <f t="shared" si="15"/>
        <v>0.5</v>
      </c>
      <c r="AE77" s="6">
        <f t="shared" si="15"/>
        <v>0.5</v>
      </c>
      <c r="AF77" s="6">
        <f t="shared" si="15"/>
        <v>0.5</v>
      </c>
    </row>
    <row r="78" spans="1:32" s="41" customFormat="1" ht="11.25">
      <c r="A78" s="30" t="s">
        <v>112</v>
      </c>
      <c r="F78"/>
      <c r="G78">
        <f t="shared" si="16"/>
        <v>2014</v>
      </c>
      <c r="H78"/>
      <c r="I78" s="91"/>
      <c r="J78" s="6"/>
      <c r="K78" s="6"/>
      <c r="L78" s="6"/>
      <c r="M78" s="6"/>
      <c r="N78" s="6"/>
      <c r="O78" s="6"/>
      <c r="P78" s="6">
        <f>O77</f>
        <v>0.05</v>
      </c>
      <c r="Q78" s="6">
        <f t="shared" si="15"/>
        <v>0.1</v>
      </c>
      <c r="R78" s="6">
        <f t="shared" si="15"/>
        <v>0.15</v>
      </c>
      <c r="S78" s="6">
        <f t="shared" si="15"/>
        <v>0.2</v>
      </c>
      <c r="T78" s="6">
        <f t="shared" si="15"/>
        <v>0.25</v>
      </c>
      <c r="U78" s="6">
        <f t="shared" si="15"/>
        <v>0.3</v>
      </c>
      <c r="V78" s="6">
        <f t="shared" si="15"/>
        <v>0.35</v>
      </c>
      <c r="W78" s="6">
        <f t="shared" si="15"/>
        <v>0.4</v>
      </c>
      <c r="X78" s="6">
        <f t="shared" si="15"/>
        <v>0.45</v>
      </c>
      <c r="Y78" s="6">
        <f t="shared" si="15"/>
        <v>0.5</v>
      </c>
      <c r="Z78" s="6">
        <f t="shared" si="15"/>
        <v>0.5</v>
      </c>
      <c r="AA78" s="6">
        <f t="shared" si="15"/>
        <v>0.5</v>
      </c>
      <c r="AB78" s="6">
        <f t="shared" si="15"/>
        <v>0.5</v>
      </c>
      <c r="AC78" s="6">
        <f t="shared" si="15"/>
        <v>0.5</v>
      </c>
      <c r="AD78" s="6">
        <f t="shared" si="15"/>
        <v>0.5</v>
      </c>
      <c r="AE78" s="6">
        <f t="shared" si="15"/>
        <v>0.5</v>
      </c>
      <c r="AF78" s="6">
        <f t="shared" si="15"/>
        <v>0.5</v>
      </c>
    </row>
    <row r="79" spans="1:32" s="41" customFormat="1" ht="11.25">
      <c r="A79" s="30" t="s">
        <v>112</v>
      </c>
      <c r="F79"/>
      <c r="G79">
        <f t="shared" si="16"/>
        <v>2015</v>
      </c>
      <c r="H79"/>
      <c r="I79" s="91"/>
      <c r="J79" s="6"/>
      <c r="K79" s="6"/>
      <c r="L79" s="6"/>
      <c r="M79" s="6"/>
      <c r="N79" s="6"/>
      <c r="O79" s="6"/>
      <c r="P79" s="6"/>
      <c r="Q79" s="6">
        <f>P78</f>
        <v>0.05</v>
      </c>
      <c r="R79" s="6">
        <f t="shared" si="15"/>
        <v>0.1</v>
      </c>
      <c r="S79" s="6">
        <f t="shared" si="15"/>
        <v>0.15</v>
      </c>
      <c r="T79" s="6">
        <f t="shared" si="15"/>
        <v>0.2</v>
      </c>
      <c r="U79" s="6">
        <f t="shared" si="15"/>
        <v>0.25</v>
      </c>
      <c r="V79" s="6">
        <f t="shared" si="15"/>
        <v>0.3</v>
      </c>
      <c r="W79" s="6">
        <f t="shared" si="15"/>
        <v>0.35</v>
      </c>
      <c r="X79" s="6">
        <f t="shared" si="15"/>
        <v>0.4</v>
      </c>
      <c r="Y79" s="6">
        <f t="shared" si="15"/>
        <v>0.45</v>
      </c>
      <c r="Z79" s="6">
        <f t="shared" si="15"/>
        <v>0.5</v>
      </c>
      <c r="AA79" s="6">
        <f t="shared" si="15"/>
        <v>0.5</v>
      </c>
      <c r="AB79" s="6">
        <f t="shared" si="15"/>
        <v>0.5</v>
      </c>
      <c r="AC79" s="6">
        <f t="shared" si="15"/>
        <v>0.5</v>
      </c>
      <c r="AD79" s="6">
        <f t="shared" si="15"/>
        <v>0.5</v>
      </c>
      <c r="AE79" s="6">
        <f t="shared" si="15"/>
        <v>0.5</v>
      </c>
      <c r="AF79" s="6">
        <f t="shared" si="15"/>
        <v>0.5</v>
      </c>
    </row>
    <row r="80" spans="1:32" s="41" customFormat="1" ht="11.25">
      <c r="A80" s="30" t="s">
        <v>112</v>
      </c>
      <c r="F80"/>
      <c r="G80">
        <f t="shared" si="16"/>
        <v>2016</v>
      </c>
      <c r="H80"/>
      <c r="I80" s="91"/>
      <c r="J80" s="6"/>
      <c r="K80" s="6"/>
      <c r="L80" s="6"/>
      <c r="M80" s="6"/>
      <c r="N80" s="32"/>
      <c r="O80" s="6"/>
      <c r="P80" s="6"/>
      <c r="Q80" s="6"/>
      <c r="R80" s="6">
        <f>Q79</f>
        <v>0.05</v>
      </c>
      <c r="S80" s="6">
        <f t="shared" si="15"/>
        <v>0.1</v>
      </c>
      <c r="T80" s="6">
        <f t="shared" si="15"/>
        <v>0.15</v>
      </c>
      <c r="U80" s="6">
        <f t="shared" si="15"/>
        <v>0.2</v>
      </c>
      <c r="V80" s="6">
        <f t="shared" si="15"/>
        <v>0.25</v>
      </c>
      <c r="W80" s="6">
        <f t="shared" si="15"/>
        <v>0.3</v>
      </c>
      <c r="X80" s="6">
        <f t="shared" si="15"/>
        <v>0.35</v>
      </c>
      <c r="Y80" s="6">
        <f t="shared" si="15"/>
        <v>0.4</v>
      </c>
      <c r="Z80" s="6">
        <f t="shared" si="15"/>
        <v>0.45</v>
      </c>
      <c r="AA80" s="6">
        <f t="shared" si="15"/>
        <v>0.5</v>
      </c>
      <c r="AB80" s="6">
        <f t="shared" si="15"/>
        <v>0.5</v>
      </c>
      <c r="AC80" s="6">
        <f t="shared" si="15"/>
        <v>0.5</v>
      </c>
      <c r="AD80" s="6">
        <f t="shared" si="15"/>
        <v>0.5</v>
      </c>
      <c r="AE80" s="6">
        <f t="shared" si="15"/>
        <v>0.5</v>
      </c>
      <c r="AF80" s="6">
        <f t="shared" si="15"/>
        <v>0.5</v>
      </c>
    </row>
    <row r="81" spans="1:32" s="41" customFormat="1" ht="11.25">
      <c r="A81" s="30" t="s">
        <v>112</v>
      </c>
      <c r="F81"/>
      <c r="G81">
        <f t="shared" si="16"/>
        <v>2017</v>
      </c>
      <c r="H81"/>
      <c r="I81" s="91"/>
      <c r="J81" s="6"/>
      <c r="K81" s="6"/>
      <c r="L81" s="6"/>
      <c r="M81" s="6"/>
      <c r="N81" s="32"/>
      <c r="O81" s="6"/>
      <c r="P81" s="6"/>
      <c r="Q81" s="6"/>
      <c r="R81" s="6"/>
      <c r="S81" s="6">
        <f>R80</f>
        <v>0.05</v>
      </c>
      <c r="T81" s="6">
        <f t="shared" si="15"/>
        <v>0.1</v>
      </c>
      <c r="U81" s="6">
        <f t="shared" si="15"/>
        <v>0.15</v>
      </c>
      <c r="V81" s="6">
        <f t="shared" si="15"/>
        <v>0.2</v>
      </c>
      <c r="W81" s="6">
        <f t="shared" si="15"/>
        <v>0.25</v>
      </c>
      <c r="X81" s="6">
        <f t="shared" si="15"/>
        <v>0.3</v>
      </c>
      <c r="Y81" s="6">
        <f t="shared" si="15"/>
        <v>0.35</v>
      </c>
      <c r="Z81" s="6">
        <f t="shared" si="15"/>
        <v>0.4</v>
      </c>
      <c r="AA81" s="6">
        <f t="shared" si="15"/>
        <v>0.45</v>
      </c>
      <c r="AB81" s="6">
        <f t="shared" si="15"/>
        <v>0.5</v>
      </c>
      <c r="AC81" s="6">
        <f t="shared" si="15"/>
        <v>0.5</v>
      </c>
      <c r="AD81" s="6">
        <f t="shared" si="15"/>
        <v>0.5</v>
      </c>
      <c r="AE81" s="6">
        <f t="shared" si="15"/>
        <v>0.5</v>
      </c>
      <c r="AF81" s="6">
        <f t="shared" si="15"/>
        <v>0.5</v>
      </c>
    </row>
    <row r="82" spans="1:32" s="41" customFormat="1" ht="11.25">
      <c r="A82" s="30" t="s">
        <v>112</v>
      </c>
      <c r="F82"/>
      <c r="G82">
        <f t="shared" si="16"/>
        <v>2018</v>
      </c>
      <c r="H82"/>
      <c r="I82" s="91"/>
      <c r="J82" s="6"/>
      <c r="K82" s="6"/>
      <c r="L82" s="6"/>
      <c r="M82" s="6"/>
      <c r="N82" s="32"/>
      <c r="O82" s="6"/>
      <c r="P82" s="6"/>
      <c r="Q82" s="6"/>
      <c r="R82" s="6"/>
      <c r="S82" s="6"/>
      <c r="T82" s="6">
        <f>S81</f>
        <v>0.05</v>
      </c>
      <c r="U82" s="6">
        <f t="shared" si="15"/>
        <v>0.1</v>
      </c>
      <c r="V82" s="6">
        <f t="shared" si="15"/>
        <v>0.15</v>
      </c>
      <c r="W82" s="6">
        <f t="shared" si="15"/>
        <v>0.2</v>
      </c>
      <c r="X82" s="6">
        <f t="shared" si="15"/>
        <v>0.25</v>
      </c>
      <c r="Y82" s="6">
        <f t="shared" si="15"/>
        <v>0.3</v>
      </c>
      <c r="Z82" s="6">
        <f t="shared" si="15"/>
        <v>0.35</v>
      </c>
      <c r="AA82" s="6">
        <f t="shared" si="15"/>
        <v>0.4</v>
      </c>
      <c r="AB82" s="6">
        <f t="shared" si="15"/>
        <v>0.45</v>
      </c>
      <c r="AC82" s="6">
        <f t="shared" si="15"/>
        <v>0.5</v>
      </c>
      <c r="AD82" s="6">
        <f t="shared" si="15"/>
        <v>0.5</v>
      </c>
      <c r="AE82" s="6">
        <f t="shared" si="15"/>
        <v>0.5</v>
      </c>
      <c r="AF82" s="6">
        <f t="shared" si="15"/>
        <v>0.5</v>
      </c>
    </row>
    <row r="83" spans="1:32" s="41" customFormat="1" ht="11.25">
      <c r="A83" s="30" t="s">
        <v>112</v>
      </c>
      <c r="F83"/>
      <c r="G83">
        <f t="shared" si="16"/>
        <v>2019</v>
      </c>
      <c r="H83"/>
      <c r="I83" s="91"/>
      <c r="J83" s="6"/>
      <c r="K83" s="6"/>
      <c r="L83" s="6"/>
      <c r="M83" s="6"/>
      <c r="N83" s="32"/>
      <c r="O83" s="6"/>
      <c r="P83" s="6"/>
      <c r="Q83" s="6"/>
      <c r="R83" s="6"/>
      <c r="S83" s="6"/>
      <c r="T83" s="6"/>
      <c r="U83" s="6">
        <f>T82</f>
        <v>0.05</v>
      </c>
      <c r="V83" s="6">
        <f t="shared" si="15"/>
        <v>0.1</v>
      </c>
      <c r="W83" s="6">
        <f t="shared" si="15"/>
        <v>0.15</v>
      </c>
      <c r="X83" s="6">
        <f t="shared" si="15"/>
        <v>0.2</v>
      </c>
      <c r="Y83" s="6">
        <f t="shared" si="15"/>
        <v>0.25</v>
      </c>
      <c r="Z83" s="6">
        <f t="shared" si="15"/>
        <v>0.3</v>
      </c>
      <c r="AA83" s="6">
        <f t="shared" si="15"/>
        <v>0.35</v>
      </c>
      <c r="AB83" s="6">
        <f t="shared" si="15"/>
        <v>0.4</v>
      </c>
      <c r="AC83" s="6">
        <f t="shared" si="15"/>
        <v>0.45</v>
      </c>
      <c r="AD83" s="6">
        <f t="shared" si="15"/>
        <v>0.5</v>
      </c>
      <c r="AE83" s="6">
        <f t="shared" si="15"/>
        <v>0.5</v>
      </c>
      <c r="AF83" s="6">
        <f t="shared" si="15"/>
        <v>0.5</v>
      </c>
    </row>
    <row r="84" spans="1:32" s="41" customFormat="1" ht="11.25">
      <c r="A84" s="30" t="s">
        <v>112</v>
      </c>
      <c r="F84"/>
      <c r="G84">
        <f t="shared" si="16"/>
        <v>2020</v>
      </c>
      <c r="H84"/>
      <c r="I84" s="91"/>
      <c r="J84" s="6"/>
      <c r="K84" s="6"/>
      <c r="L84" s="6"/>
      <c r="M84" s="6"/>
      <c r="N84" s="32"/>
      <c r="O84" s="6"/>
      <c r="P84" s="6"/>
      <c r="Q84" s="6"/>
      <c r="R84" s="6"/>
      <c r="S84" s="6"/>
      <c r="T84" s="6"/>
      <c r="U84" s="6"/>
      <c r="V84" s="6">
        <f>U83</f>
        <v>0.05</v>
      </c>
      <c r="W84" s="6">
        <f t="shared" si="15"/>
        <v>0.1</v>
      </c>
      <c r="X84" s="6">
        <f t="shared" si="15"/>
        <v>0.15</v>
      </c>
      <c r="Y84" s="6">
        <f t="shared" si="15"/>
        <v>0.2</v>
      </c>
      <c r="Z84" s="6">
        <f t="shared" si="15"/>
        <v>0.25</v>
      </c>
      <c r="AA84" s="6">
        <f t="shared" si="15"/>
        <v>0.3</v>
      </c>
      <c r="AB84" s="6">
        <f t="shared" si="15"/>
        <v>0.35</v>
      </c>
      <c r="AC84" s="6">
        <f t="shared" si="15"/>
        <v>0.4</v>
      </c>
      <c r="AD84" s="6">
        <f t="shared" si="15"/>
        <v>0.45</v>
      </c>
      <c r="AE84" s="6">
        <f t="shared" si="15"/>
        <v>0.5</v>
      </c>
      <c r="AF84" s="6">
        <f t="shared" si="15"/>
        <v>0.5</v>
      </c>
    </row>
    <row r="85" spans="1:32" s="41" customFormat="1" ht="11.25">
      <c r="A85" s="30" t="s">
        <v>112</v>
      </c>
      <c r="F85"/>
      <c r="G85">
        <f t="shared" si="16"/>
        <v>2021</v>
      </c>
      <c r="H85"/>
      <c r="I85" s="91"/>
      <c r="J85" s="6"/>
      <c r="K85" s="6"/>
      <c r="L85" s="6"/>
      <c r="M85" s="6"/>
      <c r="N85" s="32"/>
      <c r="O85" s="6"/>
      <c r="P85" s="6"/>
      <c r="Q85" s="6"/>
      <c r="R85" s="6"/>
      <c r="S85" s="6"/>
      <c r="T85" s="6"/>
      <c r="U85" s="6"/>
      <c r="V85" s="6"/>
      <c r="W85" s="6">
        <f aca="true" t="shared" si="21" ref="W85:AF85">V84</f>
        <v>0.05</v>
      </c>
      <c r="X85" s="6">
        <f t="shared" si="21"/>
        <v>0.1</v>
      </c>
      <c r="Y85" s="6">
        <f t="shared" si="21"/>
        <v>0.15</v>
      </c>
      <c r="Z85" s="6">
        <f t="shared" si="21"/>
        <v>0.2</v>
      </c>
      <c r="AA85" s="6">
        <f t="shared" si="21"/>
        <v>0.25</v>
      </c>
      <c r="AB85" s="6">
        <f t="shared" si="21"/>
        <v>0.3</v>
      </c>
      <c r="AC85" s="6">
        <f t="shared" si="21"/>
        <v>0.35</v>
      </c>
      <c r="AD85" s="6">
        <f t="shared" si="21"/>
        <v>0.4</v>
      </c>
      <c r="AE85" s="6">
        <f t="shared" si="21"/>
        <v>0.45</v>
      </c>
      <c r="AF85" s="6">
        <f t="shared" si="21"/>
        <v>0.5</v>
      </c>
    </row>
    <row r="86" spans="1:32" s="41" customFormat="1" ht="11.25">
      <c r="A86" s="30" t="s">
        <v>112</v>
      </c>
      <c r="F86"/>
      <c r="G86">
        <f t="shared" si="16"/>
        <v>2022</v>
      </c>
      <c r="H86"/>
      <c r="I86" s="91"/>
      <c r="J86" s="6"/>
      <c r="K86" s="6"/>
      <c r="L86" s="6"/>
      <c r="M86" s="6"/>
      <c r="N86" s="32"/>
      <c r="O86" s="6"/>
      <c r="P86" s="6"/>
      <c r="Q86" s="6"/>
      <c r="R86" s="6"/>
      <c r="S86" s="6"/>
      <c r="T86" s="6"/>
      <c r="U86" s="6"/>
      <c r="V86" s="6"/>
      <c r="W86" s="6"/>
      <c r="X86" s="6">
        <f aca="true" t="shared" si="22" ref="X86:AF86">W85</f>
        <v>0.05</v>
      </c>
      <c r="Y86" s="6">
        <f t="shared" si="22"/>
        <v>0.1</v>
      </c>
      <c r="Z86" s="6">
        <f t="shared" si="22"/>
        <v>0.15</v>
      </c>
      <c r="AA86" s="6">
        <f t="shared" si="22"/>
        <v>0.2</v>
      </c>
      <c r="AB86" s="6">
        <f t="shared" si="22"/>
        <v>0.25</v>
      </c>
      <c r="AC86" s="6">
        <f t="shared" si="22"/>
        <v>0.3</v>
      </c>
      <c r="AD86" s="6">
        <f t="shared" si="22"/>
        <v>0.35</v>
      </c>
      <c r="AE86" s="6">
        <f t="shared" si="22"/>
        <v>0.4</v>
      </c>
      <c r="AF86" s="6">
        <f t="shared" si="22"/>
        <v>0.45</v>
      </c>
    </row>
    <row r="87" spans="1:32" s="41" customFormat="1" ht="11.25">
      <c r="A87" s="30" t="s">
        <v>112</v>
      </c>
      <c r="F87"/>
      <c r="G87">
        <f t="shared" si="16"/>
        <v>2023</v>
      </c>
      <c r="H87"/>
      <c r="I87" s="91"/>
      <c r="J87" s="6"/>
      <c r="K87" s="6"/>
      <c r="L87" s="6"/>
      <c r="M87" s="6"/>
      <c r="N87" s="32"/>
      <c r="O87" s="6"/>
      <c r="P87" s="6"/>
      <c r="Q87" s="6"/>
      <c r="R87" s="6"/>
      <c r="S87" s="6"/>
      <c r="T87" s="6"/>
      <c r="U87" s="6"/>
      <c r="V87" s="6"/>
      <c r="W87" s="6"/>
      <c r="X87" s="6"/>
      <c r="Y87" s="6">
        <f>X86</f>
        <v>0.05</v>
      </c>
      <c r="Z87" s="6">
        <f aca="true" t="shared" si="23" ref="Z87:AF92">Y86</f>
        <v>0.1</v>
      </c>
      <c r="AA87" s="6">
        <f t="shared" si="23"/>
        <v>0.15</v>
      </c>
      <c r="AB87" s="6">
        <f t="shared" si="23"/>
        <v>0.2</v>
      </c>
      <c r="AC87" s="6">
        <f t="shared" si="23"/>
        <v>0.25</v>
      </c>
      <c r="AD87" s="6">
        <f t="shared" si="23"/>
        <v>0.3</v>
      </c>
      <c r="AE87" s="6">
        <f t="shared" si="23"/>
        <v>0.35</v>
      </c>
      <c r="AF87" s="6">
        <f t="shared" si="23"/>
        <v>0.4</v>
      </c>
    </row>
    <row r="88" spans="1:32" s="41" customFormat="1" ht="11.25">
      <c r="A88" s="30" t="s">
        <v>112</v>
      </c>
      <c r="F88"/>
      <c r="G88">
        <f t="shared" si="16"/>
        <v>2024</v>
      </c>
      <c r="H88" s="6"/>
      <c r="I88" s="91"/>
      <c r="J88" s="6"/>
      <c r="K88" s="6"/>
      <c r="L88" s="6"/>
      <c r="M88" s="6"/>
      <c r="N88" s="32"/>
      <c r="O88" s="6"/>
      <c r="P88" s="6"/>
      <c r="Q88" s="6"/>
      <c r="R88" s="6"/>
      <c r="S88" s="6"/>
      <c r="T88" s="6"/>
      <c r="U88" s="6"/>
      <c r="V88" s="6"/>
      <c r="W88" s="6"/>
      <c r="X88" s="6"/>
      <c r="Y88" s="6"/>
      <c r="Z88" s="6">
        <f>Y87</f>
        <v>0.05</v>
      </c>
      <c r="AA88" s="6">
        <f t="shared" si="23"/>
        <v>0.1</v>
      </c>
      <c r="AB88" s="6">
        <f t="shared" si="23"/>
        <v>0.15</v>
      </c>
      <c r="AC88" s="6">
        <f t="shared" si="23"/>
        <v>0.2</v>
      </c>
      <c r="AD88" s="6">
        <f t="shared" si="23"/>
        <v>0.25</v>
      </c>
      <c r="AE88" s="6">
        <f t="shared" si="23"/>
        <v>0.3</v>
      </c>
      <c r="AF88" s="6">
        <f t="shared" si="23"/>
        <v>0.35</v>
      </c>
    </row>
    <row r="89" spans="1:32" s="41" customFormat="1" ht="11.25">
      <c r="A89" s="30" t="s">
        <v>112</v>
      </c>
      <c r="F89"/>
      <c r="G89">
        <f t="shared" si="16"/>
        <v>2025</v>
      </c>
      <c r="H89" s="6"/>
      <c r="I89" s="33"/>
      <c r="J89" s="6"/>
      <c r="K89" s="6"/>
      <c r="L89" s="6"/>
      <c r="M89" s="6"/>
      <c r="N89" s="32"/>
      <c r="O89" s="6"/>
      <c r="P89" s="6"/>
      <c r="Q89" s="6"/>
      <c r="R89" s="6"/>
      <c r="S89" s="6"/>
      <c r="T89" s="6"/>
      <c r="U89" s="6"/>
      <c r="V89" s="6"/>
      <c r="W89" s="6"/>
      <c r="X89" s="6"/>
      <c r="Y89" s="6"/>
      <c r="Z89" s="6"/>
      <c r="AA89" s="6">
        <f>Z88</f>
        <v>0.05</v>
      </c>
      <c r="AB89" s="6">
        <f t="shared" si="23"/>
        <v>0.1</v>
      </c>
      <c r="AC89" s="6">
        <f t="shared" si="23"/>
        <v>0.15</v>
      </c>
      <c r="AD89" s="6">
        <f t="shared" si="23"/>
        <v>0.2</v>
      </c>
      <c r="AE89" s="6">
        <f t="shared" si="23"/>
        <v>0.25</v>
      </c>
      <c r="AF89" s="6">
        <f t="shared" si="23"/>
        <v>0.3</v>
      </c>
    </row>
    <row r="90" spans="1:32" s="41" customFormat="1" ht="11.25">
      <c r="A90" s="30" t="s">
        <v>112</v>
      </c>
      <c r="F90"/>
      <c r="G90">
        <f t="shared" si="16"/>
        <v>2026</v>
      </c>
      <c r="H90" s="6"/>
      <c r="I90" s="33"/>
      <c r="J90" s="6"/>
      <c r="K90" s="6"/>
      <c r="L90" s="6"/>
      <c r="M90" s="6"/>
      <c r="N90" s="32"/>
      <c r="O90" s="6"/>
      <c r="P90" s="6"/>
      <c r="Q90" s="6"/>
      <c r="R90" s="6"/>
      <c r="S90" s="6"/>
      <c r="T90" s="6"/>
      <c r="U90" s="6"/>
      <c r="V90" s="6"/>
      <c r="W90" s="6"/>
      <c r="X90" s="6"/>
      <c r="Y90" s="6"/>
      <c r="Z90" s="6"/>
      <c r="AA90" s="6"/>
      <c r="AB90" s="6">
        <f>AA89</f>
        <v>0.05</v>
      </c>
      <c r="AC90" s="6">
        <f t="shared" si="23"/>
        <v>0.1</v>
      </c>
      <c r="AD90" s="6">
        <f t="shared" si="23"/>
        <v>0.15</v>
      </c>
      <c r="AE90" s="6">
        <f t="shared" si="23"/>
        <v>0.2</v>
      </c>
      <c r="AF90" s="6">
        <f t="shared" si="23"/>
        <v>0.25</v>
      </c>
    </row>
    <row r="91" spans="1:32" s="41" customFormat="1" ht="11.25">
      <c r="A91" s="30" t="s">
        <v>112</v>
      </c>
      <c r="F91"/>
      <c r="G91">
        <f t="shared" si="16"/>
        <v>2027</v>
      </c>
      <c r="H91" s="6"/>
      <c r="I91" s="33"/>
      <c r="J91" s="6"/>
      <c r="K91" s="6"/>
      <c r="L91" s="6"/>
      <c r="M91" s="6"/>
      <c r="N91" s="32"/>
      <c r="O91" s="6"/>
      <c r="P91" s="6"/>
      <c r="Q91" s="6"/>
      <c r="R91" s="6"/>
      <c r="S91" s="6"/>
      <c r="T91" s="6"/>
      <c r="U91" s="6"/>
      <c r="V91" s="6"/>
      <c r="W91" s="6"/>
      <c r="X91" s="6"/>
      <c r="Y91" s="6"/>
      <c r="Z91" s="6"/>
      <c r="AA91" s="6"/>
      <c r="AB91" s="6"/>
      <c r="AC91" s="6">
        <f>AB90</f>
        <v>0.05</v>
      </c>
      <c r="AD91" s="6">
        <f t="shared" si="23"/>
        <v>0.1</v>
      </c>
      <c r="AE91" s="6">
        <f t="shared" si="23"/>
        <v>0.15</v>
      </c>
      <c r="AF91" s="6">
        <f t="shared" si="23"/>
        <v>0.2</v>
      </c>
    </row>
    <row r="92" spans="1:32" s="41" customFormat="1" ht="11.25">
      <c r="A92" s="30" t="s">
        <v>112</v>
      </c>
      <c r="F92"/>
      <c r="G92">
        <f t="shared" si="16"/>
        <v>2028</v>
      </c>
      <c r="H92" s="6"/>
      <c r="I92" s="33"/>
      <c r="J92" s="6"/>
      <c r="K92" s="6"/>
      <c r="L92" s="6"/>
      <c r="M92" s="6"/>
      <c r="N92" s="32"/>
      <c r="O92" s="6"/>
      <c r="P92" s="6"/>
      <c r="Q92" s="6"/>
      <c r="R92" s="6"/>
      <c r="S92" s="6"/>
      <c r="T92" s="6"/>
      <c r="U92" s="6"/>
      <c r="V92" s="6"/>
      <c r="W92" s="6"/>
      <c r="X92" s="6"/>
      <c r="Y92" s="6"/>
      <c r="Z92" s="6"/>
      <c r="AA92" s="6"/>
      <c r="AB92" s="6"/>
      <c r="AC92" s="6"/>
      <c r="AD92" s="6">
        <f>AC91</f>
        <v>0.05</v>
      </c>
      <c r="AE92" s="6">
        <f t="shared" si="23"/>
        <v>0.1</v>
      </c>
      <c r="AF92" s="6">
        <f t="shared" si="23"/>
        <v>0.15</v>
      </c>
    </row>
    <row r="93" spans="1:32" s="41" customFormat="1" ht="11.25">
      <c r="A93" s="30" t="s">
        <v>112</v>
      </c>
      <c r="F93"/>
      <c r="G93">
        <f t="shared" si="16"/>
        <v>2029</v>
      </c>
      <c r="H93" s="6"/>
      <c r="I93" s="33"/>
      <c r="J93" s="6"/>
      <c r="K93" s="6"/>
      <c r="L93" s="6"/>
      <c r="M93" s="6"/>
      <c r="N93" s="32"/>
      <c r="O93" s="6"/>
      <c r="P93" s="6"/>
      <c r="Q93" s="6"/>
      <c r="R93" s="6"/>
      <c r="S93" s="6"/>
      <c r="T93" s="6"/>
      <c r="U93" s="6"/>
      <c r="V93" s="6"/>
      <c r="W93" s="6"/>
      <c r="X93" s="6"/>
      <c r="Y93" s="6"/>
      <c r="Z93" s="6"/>
      <c r="AA93" s="6"/>
      <c r="AB93" s="6"/>
      <c r="AC93" s="6"/>
      <c r="AD93" s="6"/>
      <c r="AE93" s="6">
        <f>AD92</f>
        <v>0.05</v>
      </c>
      <c r="AF93" s="6">
        <f>AE92</f>
        <v>0.1</v>
      </c>
    </row>
    <row r="94" spans="1:32" s="41" customFormat="1" ht="11.25">
      <c r="A94" s="30" t="s">
        <v>112</v>
      </c>
      <c r="F94"/>
      <c r="G94">
        <f t="shared" si="16"/>
        <v>2030</v>
      </c>
      <c r="H94" s="6"/>
      <c r="I94" s="33"/>
      <c r="J94" s="6"/>
      <c r="K94" s="6"/>
      <c r="L94" s="6"/>
      <c r="M94" s="6"/>
      <c r="N94" s="32"/>
      <c r="O94" s="6"/>
      <c r="P94" s="6"/>
      <c r="Q94" s="6"/>
      <c r="R94" s="6"/>
      <c r="S94" s="6"/>
      <c r="T94" s="6"/>
      <c r="U94" s="6"/>
      <c r="V94" s="6"/>
      <c r="W94" s="6"/>
      <c r="X94" s="6"/>
      <c r="Y94" s="6"/>
      <c r="Z94" s="6"/>
      <c r="AA94" s="6"/>
      <c r="AB94" s="6"/>
      <c r="AC94" s="6"/>
      <c r="AD94" s="6"/>
      <c r="AE94" s="6"/>
      <c r="AF94" s="6">
        <f>AE93</f>
        <v>0.05</v>
      </c>
    </row>
    <row r="95" spans="1:9" s="41" customFormat="1" ht="11.25">
      <c r="A95" s="43"/>
      <c r="H95"/>
      <c r="I95" s="33"/>
    </row>
    <row r="96" spans="1:32" s="42" customFormat="1" ht="11.25">
      <c r="A96" s="44" t="s">
        <v>141</v>
      </c>
      <c r="F96"/>
      <c r="G96">
        <f>G72</f>
        <v>2008</v>
      </c>
      <c r="H96"/>
      <c r="I96" s="33"/>
      <c r="J96" s="16">
        <f aca="true" t="shared" si="24" ref="J96:AF96">(1+$J$61)^(-J72)</f>
        <v>0.9991352664265584</v>
      </c>
      <c r="K96" s="16">
        <f t="shared" si="24"/>
        <v>0.9982712806172698</v>
      </c>
      <c r="L96" s="16">
        <f t="shared" si="24"/>
        <v>0.9974080419255176</v>
      </c>
      <c r="M96" s="16">
        <f t="shared" si="24"/>
        <v>0.9965455497052439</v>
      </c>
      <c r="N96" s="16">
        <f t="shared" si="24"/>
        <v>0.99568380331095</v>
      </c>
      <c r="O96" s="16">
        <f t="shared" si="24"/>
        <v>0.9948228020976949</v>
      </c>
      <c r="P96" s="16">
        <f t="shared" si="24"/>
        <v>0.9939625454210959</v>
      </c>
      <c r="Q96" s="16">
        <f t="shared" si="24"/>
        <v>0.9931030326373267</v>
      </c>
      <c r="R96" s="16">
        <f t="shared" si="24"/>
        <v>0.9922442631031185</v>
      </c>
      <c r="S96" s="16">
        <f t="shared" si="24"/>
        <v>0.9913862361757584</v>
      </c>
      <c r="T96" s="16">
        <f t="shared" si="24"/>
        <v>0.9913862361757584</v>
      </c>
      <c r="U96" s="16">
        <f t="shared" si="24"/>
        <v>0.9913862361757584</v>
      </c>
      <c r="V96" s="16">
        <f t="shared" si="24"/>
        <v>0.9913862361757584</v>
      </c>
      <c r="W96" s="16">
        <f t="shared" si="24"/>
        <v>0.9913862361757584</v>
      </c>
      <c r="X96" s="16">
        <f t="shared" si="24"/>
        <v>0.9913862361757584</v>
      </c>
      <c r="Y96" s="16">
        <f t="shared" si="24"/>
        <v>0.9913862361757584</v>
      </c>
      <c r="Z96" s="16">
        <f t="shared" si="24"/>
        <v>0.9913862361757584</v>
      </c>
      <c r="AA96" s="16">
        <f t="shared" si="24"/>
        <v>0.9913862361757584</v>
      </c>
      <c r="AB96" s="16">
        <f t="shared" si="24"/>
        <v>0.9913862361757584</v>
      </c>
      <c r="AC96" s="16">
        <f t="shared" si="24"/>
        <v>0.9913862361757584</v>
      </c>
      <c r="AD96" s="16">
        <f t="shared" si="24"/>
        <v>0.9913862361757584</v>
      </c>
      <c r="AE96" s="16">
        <f t="shared" si="24"/>
        <v>0.9913862361757584</v>
      </c>
      <c r="AF96" s="16">
        <f t="shared" si="24"/>
        <v>0.9913862361757584</v>
      </c>
    </row>
    <row r="97" spans="1:32" ht="11.25">
      <c r="A97" s="44" t="s">
        <v>141</v>
      </c>
      <c r="B97" s="44"/>
      <c r="G97">
        <f aca="true" t="shared" si="25" ref="G97:G118">G73</f>
        <v>2009</v>
      </c>
      <c r="J97" s="16">
        <f>(1+$J$61)^(-J73)</f>
        <v>1</v>
      </c>
      <c r="K97" s="16">
        <f>(1+$K$61)^(-K73)</f>
        <v>0.9991545220101765</v>
      </c>
      <c r="L97" s="16">
        <f>(1+$K$61)^(-L73)</f>
        <v>0.9983097588533845</v>
      </c>
      <c r="M97" s="16">
        <f>(1+$K$61)^(-M73)</f>
        <v>0.9974657099252482</v>
      </c>
      <c r="N97" s="16">
        <f>(1+$K$61)^(-N73)</f>
        <v>0.9966223746219027</v>
      </c>
      <c r="O97" s="16">
        <f>(1+$K$61)^(-O73)</f>
        <v>0.9957797523399945</v>
      </c>
      <c r="P97" s="16">
        <f aca="true" t="shared" si="26" ref="P97:AF97">(1+$K$61)^(-P73)</f>
        <v>0.994937842476679</v>
      </c>
      <c r="Q97" s="16">
        <f t="shared" si="26"/>
        <v>0.9940966444296229</v>
      </c>
      <c r="R97" s="16">
        <f t="shared" si="26"/>
        <v>0.9932561575970003</v>
      </c>
      <c r="S97" s="16">
        <f t="shared" si="26"/>
        <v>0.9924163813774954</v>
      </c>
      <c r="T97" s="16">
        <f t="shared" si="26"/>
        <v>0.9915773151703007</v>
      </c>
      <c r="U97" s="16">
        <f t="shared" si="26"/>
        <v>0.9915773151703007</v>
      </c>
      <c r="V97" s="16">
        <f t="shared" si="26"/>
        <v>0.9915773151703007</v>
      </c>
      <c r="W97" s="16">
        <f t="shared" si="26"/>
        <v>0.9915773151703007</v>
      </c>
      <c r="X97" s="16">
        <f t="shared" si="26"/>
        <v>0.9915773151703007</v>
      </c>
      <c r="Y97" s="16">
        <f t="shared" si="26"/>
        <v>0.9915773151703007</v>
      </c>
      <c r="Z97" s="16">
        <f t="shared" si="26"/>
        <v>0.9915773151703007</v>
      </c>
      <c r="AA97" s="16">
        <f t="shared" si="26"/>
        <v>0.9915773151703007</v>
      </c>
      <c r="AB97" s="16">
        <f t="shared" si="26"/>
        <v>0.9915773151703007</v>
      </c>
      <c r="AC97" s="16">
        <f t="shared" si="26"/>
        <v>0.9915773151703007</v>
      </c>
      <c r="AD97" s="16">
        <f t="shared" si="26"/>
        <v>0.9915773151703007</v>
      </c>
      <c r="AE97" s="16">
        <f t="shared" si="26"/>
        <v>0.9915773151703007</v>
      </c>
      <c r="AF97" s="16">
        <f t="shared" si="26"/>
        <v>0.9915773151703007</v>
      </c>
    </row>
    <row r="98" spans="1:33" ht="11.25">
      <c r="A98" s="44" t="s">
        <v>141</v>
      </c>
      <c r="B98" s="44"/>
      <c r="G98">
        <f t="shared" si="25"/>
        <v>2010</v>
      </c>
      <c r="H98" s="3"/>
      <c r="I98" s="79"/>
      <c r="J98" s="16">
        <f aca="true" t="shared" si="27" ref="J98:J118">(1+$J$61)^(-J74)</f>
        <v>1</v>
      </c>
      <c r="K98" s="16">
        <f aca="true" t="shared" si="28" ref="K98:K118">(1+$K$61)^(-K74)</f>
        <v>1</v>
      </c>
      <c r="L98" s="17">
        <f aca="true" t="shared" si="29" ref="L98:AF98">(1+$L$61)^(-L74)</f>
        <v>0.9991730426538475</v>
      </c>
      <c r="M98" s="17">
        <f t="shared" si="29"/>
        <v>0.9983467691661475</v>
      </c>
      <c r="N98" s="17">
        <f t="shared" si="29"/>
        <v>0.9975211789713782</v>
      </c>
      <c r="O98" s="17">
        <f t="shared" si="29"/>
        <v>0.9966962715044851</v>
      </c>
      <c r="P98" s="17">
        <f t="shared" si="29"/>
        <v>0.995872046200882</v>
      </c>
      <c r="Q98" s="17">
        <f t="shared" si="29"/>
        <v>0.9950485024964483</v>
      </c>
      <c r="R98" s="17">
        <f t="shared" si="29"/>
        <v>0.9942256398275308</v>
      </c>
      <c r="S98" s="17">
        <f t="shared" si="29"/>
        <v>0.9934034576309424</v>
      </c>
      <c r="T98" s="17">
        <f t="shared" si="29"/>
        <v>0.9925819553439613</v>
      </c>
      <c r="U98" s="17">
        <f t="shared" si="29"/>
        <v>0.9917611324043314</v>
      </c>
      <c r="V98" s="17">
        <f t="shared" si="29"/>
        <v>0.9917611324043314</v>
      </c>
      <c r="W98" s="17">
        <f t="shared" si="29"/>
        <v>0.9917611324043314</v>
      </c>
      <c r="X98" s="17">
        <f t="shared" si="29"/>
        <v>0.9917611324043314</v>
      </c>
      <c r="Y98" s="17">
        <f t="shared" si="29"/>
        <v>0.9917611324043314</v>
      </c>
      <c r="Z98" s="17">
        <f t="shared" si="29"/>
        <v>0.9917611324043314</v>
      </c>
      <c r="AA98" s="17">
        <f t="shared" si="29"/>
        <v>0.9917611324043314</v>
      </c>
      <c r="AB98" s="17">
        <f t="shared" si="29"/>
        <v>0.9917611324043314</v>
      </c>
      <c r="AC98" s="17">
        <f t="shared" si="29"/>
        <v>0.9917611324043314</v>
      </c>
      <c r="AD98" s="17">
        <f t="shared" si="29"/>
        <v>0.9917611324043314</v>
      </c>
      <c r="AE98" s="17">
        <f t="shared" si="29"/>
        <v>0.9917611324043314</v>
      </c>
      <c r="AF98" s="17">
        <f t="shared" si="29"/>
        <v>0.9917611324043314</v>
      </c>
      <c r="AG98" s="17"/>
    </row>
    <row r="99" spans="1:32" ht="11.25">
      <c r="A99" s="44" t="s">
        <v>141</v>
      </c>
      <c r="B99" s="44"/>
      <c r="G99">
        <f t="shared" si="25"/>
        <v>2011</v>
      </c>
      <c r="H99" s="3"/>
      <c r="I99" s="79"/>
      <c r="J99" s="16">
        <f t="shared" si="27"/>
        <v>1</v>
      </c>
      <c r="K99" s="16">
        <f t="shared" si="28"/>
        <v>1</v>
      </c>
      <c r="L99" s="17">
        <f aca="true" t="shared" si="30" ref="L99:L118">(1+$L$61)^(-L75)</f>
        <v>1</v>
      </c>
      <c r="M99" s="17">
        <f>(1+$M$61)^(-M75)</f>
        <v>0.9991908696140295</v>
      </c>
      <c r="N99" s="17">
        <f>(1+$M$61)^(-N75)</f>
        <v>0.9983823939200406</v>
      </c>
      <c r="O99" s="17">
        <f aca="true" t="shared" si="31" ref="O99:AF99">(1+$M$61)^(-O75)</f>
        <v>0.9975745723883017</v>
      </c>
      <c r="P99" s="17">
        <f t="shared" si="31"/>
        <v>0.9967674044895108</v>
      </c>
      <c r="Q99" s="17">
        <f t="shared" si="31"/>
        <v>0.9959608896947935</v>
      </c>
      <c r="R99" s="17">
        <f t="shared" si="31"/>
        <v>0.9951550274757032</v>
      </c>
      <c r="S99" s="17">
        <f t="shared" si="31"/>
        <v>0.9943498173042213</v>
      </c>
      <c r="T99" s="17">
        <f t="shared" si="31"/>
        <v>0.9935452586527561</v>
      </c>
      <c r="U99" s="17">
        <f t="shared" si="31"/>
        <v>0.9927413509941434</v>
      </c>
      <c r="V99" s="17">
        <f t="shared" si="31"/>
        <v>0.9919380938016444</v>
      </c>
      <c r="W99" s="17">
        <f t="shared" si="31"/>
        <v>0.9919380938016444</v>
      </c>
      <c r="X99" s="17">
        <f t="shared" si="31"/>
        <v>0.9919380938016444</v>
      </c>
      <c r="Y99" s="17">
        <f t="shared" si="31"/>
        <v>0.9919380938016444</v>
      </c>
      <c r="Z99" s="17">
        <f t="shared" si="31"/>
        <v>0.9919380938016444</v>
      </c>
      <c r="AA99" s="17">
        <f t="shared" si="31"/>
        <v>0.9919380938016444</v>
      </c>
      <c r="AB99" s="17">
        <f t="shared" si="31"/>
        <v>0.9919380938016444</v>
      </c>
      <c r="AC99" s="17">
        <f t="shared" si="31"/>
        <v>0.9919380938016444</v>
      </c>
      <c r="AD99" s="17">
        <f t="shared" si="31"/>
        <v>0.9919380938016444</v>
      </c>
      <c r="AE99" s="17">
        <f t="shared" si="31"/>
        <v>0.9919380938016444</v>
      </c>
      <c r="AF99" s="17">
        <f t="shared" si="31"/>
        <v>0.9919380938016444</v>
      </c>
    </row>
    <row r="100" spans="1:32" ht="11.25">
      <c r="A100" s="44" t="s">
        <v>141</v>
      </c>
      <c r="B100" s="44"/>
      <c r="G100">
        <f t="shared" si="25"/>
        <v>2012</v>
      </c>
      <c r="H100" s="3"/>
      <c r="I100" s="79"/>
      <c r="J100" s="16">
        <f t="shared" si="27"/>
        <v>1</v>
      </c>
      <c r="K100" s="16">
        <f t="shared" si="28"/>
        <v>1</v>
      </c>
      <c r="L100" s="17">
        <f t="shared" si="30"/>
        <v>1</v>
      </c>
      <c r="M100" s="17">
        <f aca="true" t="shared" si="32" ref="M100:M118">(1+$M$61)^(-M76)</f>
        <v>1</v>
      </c>
      <c r="N100" s="17">
        <f>(1+$N$61)^(-N76)</f>
        <v>0.9992080411157557</v>
      </c>
      <c r="O100" s="17">
        <f aca="true" t="shared" si="33" ref="O100:AF100">(1+$N$61)^(-O76)</f>
        <v>0.9984167094303856</v>
      </c>
      <c r="P100" s="17">
        <f t="shared" si="33"/>
        <v>0.9976260044471743</v>
      </c>
      <c r="Q100" s="17">
        <f t="shared" si="33"/>
        <v>0.9968359256697991</v>
      </c>
      <c r="R100" s="17">
        <f t="shared" si="33"/>
        <v>0.996046472602331</v>
      </c>
      <c r="S100" s="17">
        <f t="shared" si="33"/>
        <v>0.9952576447492334</v>
      </c>
      <c r="T100" s="17">
        <f t="shared" si="33"/>
        <v>0.994469441615362</v>
      </c>
      <c r="U100" s="17">
        <f t="shared" si="33"/>
        <v>0.9936818627059653</v>
      </c>
      <c r="V100" s="17">
        <f t="shared" si="33"/>
        <v>0.9928949075266829</v>
      </c>
      <c r="W100" s="17">
        <f t="shared" si="33"/>
        <v>0.992108575583546</v>
      </c>
      <c r="X100" s="17">
        <f t="shared" si="33"/>
        <v>0.992108575583546</v>
      </c>
      <c r="Y100" s="17">
        <f t="shared" si="33"/>
        <v>0.992108575583546</v>
      </c>
      <c r="Z100" s="17">
        <f t="shared" si="33"/>
        <v>0.992108575583546</v>
      </c>
      <c r="AA100" s="17">
        <f t="shared" si="33"/>
        <v>0.992108575583546</v>
      </c>
      <c r="AB100" s="17">
        <f t="shared" si="33"/>
        <v>0.992108575583546</v>
      </c>
      <c r="AC100" s="17">
        <f t="shared" si="33"/>
        <v>0.992108575583546</v>
      </c>
      <c r="AD100" s="17">
        <f t="shared" si="33"/>
        <v>0.992108575583546</v>
      </c>
      <c r="AE100" s="17">
        <f t="shared" si="33"/>
        <v>0.992108575583546</v>
      </c>
      <c r="AF100" s="17">
        <f t="shared" si="33"/>
        <v>0.992108575583546</v>
      </c>
    </row>
    <row r="101" spans="1:32" ht="11.25">
      <c r="A101" s="44" t="s">
        <v>141</v>
      </c>
      <c r="B101" s="44"/>
      <c r="G101">
        <f t="shared" si="25"/>
        <v>2013</v>
      </c>
      <c r="H101" s="3"/>
      <c r="I101" s="79"/>
      <c r="J101" s="16">
        <f t="shared" si="27"/>
        <v>1</v>
      </c>
      <c r="K101" s="16">
        <f t="shared" si="28"/>
        <v>1</v>
      </c>
      <c r="L101" s="17">
        <f t="shared" si="30"/>
        <v>1</v>
      </c>
      <c r="M101" s="17">
        <f t="shared" si="32"/>
        <v>1</v>
      </c>
      <c r="N101" s="17">
        <f aca="true" t="shared" si="34" ref="N101:N118">(1+$N$61)^(-N77)</f>
        <v>1</v>
      </c>
      <c r="O101" s="17">
        <f>(1+$O$61)^(-O77)</f>
        <v>0.999224592626047</v>
      </c>
      <c r="P101" s="17">
        <f aca="true" t="shared" si="35" ref="P101:AF101">(1+$O$61)^(-P77)</f>
        <v>0.9984497865086895</v>
      </c>
      <c r="Q101" s="17">
        <f t="shared" si="35"/>
        <v>0.997675581181709</v>
      </c>
      <c r="R101" s="17">
        <f t="shared" si="35"/>
        <v>0.9969019761792477</v>
      </c>
      <c r="S101" s="17">
        <f t="shared" si="35"/>
        <v>0.99612897103581</v>
      </c>
      <c r="T101" s="17">
        <f t="shared" si="35"/>
        <v>0.9953565652862607</v>
      </c>
      <c r="U101" s="17">
        <f t="shared" si="35"/>
        <v>0.9945847584658252</v>
      </c>
      <c r="V101" s="17">
        <f t="shared" si="35"/>
        <v>0.9938135501100895</v>
      </c>
      <c r="W101" s="17">
        <f t="shared" si="35"/>
        <v>0.9930429397549996</v>
      </c>
      <c r="X101" s="17">
        <f t="shared" si="35"/>
        <v>0.9922729269368615</v>
      </c>
      <c r="Y101" s="17">
        <f t="shared" si="35"/>
        <v>0.9922729269368615</v>
      </c>
      <c r="Z101" s="17">
        <f t="shared" si="35"/>
        <v>0.9922729269368615</v>
      </c>
      <c r="AA101" s="17">
        <f t="shared" si="35"/>
        <v>0.9922729269368615</v>
      </c>
      <c r="AB101" s="17">
        <f t="shared" si="35"/>
        <v>0.9922729269368615</v>
      </c>
      <c r="AC101" s="17">
        <f t="shared" si="35"/>
        <v>0.9922729269368615</v>
      </c>
      <c r="AD101" s="17">
        <f t="shared" si="35"/>
        <v>0.9922729269368615</v>
      </c>
      <c r="AE101" s="17">
        <f t="shared" si="35"/>
        <v>0.9922729269368615</v>
      </c>
      <c r="AF101" s="17">
        <f t="shared" si="35"/>
        <v>0.9922729269368615</v>
      </c>
    </row>
    <row r="102" spans="1:32" ht="11.25">
      <c r="A102" s="44" t="s">
        <v>141</v>
      </c>
      <c r="B102" s="44"/>
      <c r="G102">
        <f t="shared" si="25"/>
        <v>2014</v>
      </c>
      <c r="H102" s="3"/>
      <c r="I102" s="79"/>
      <c r="J102" s="16">
        <f t="shared" si="27"/>
        <v>1</v>
      </c>
      <c r="K102" s="16">
        <f t="shared" si="28"/>
        <v>1</v>
      </c>
      <c r="L102" s="17">
        <f t="shared" si="30"/>
        <v>1</v>
      </c>
      <c r="M102" s="17">
        <f t="shared" si="32"/>
        <v>1</v>
      </c>
      <c r="N102" s="17">
        <f t="shared" si="34"/>
        <v>1</v>
      </c>
      <c r="O102" s="17">
        <f aca="true" t="shared" si="36" ref="O102:O118">(1+$O$61)^(-O78)</f>
        <v>1</v>
      </c>
      <c r="P102" s="17">
        <f>(1+$P$61)^(-P78)</f>
        <v>0.9992405570982558</v>
      </c>
      <c r="Q102" s="17">
        <f aca="true" t="shared" si="37" ref="Q102:AF102">(1+$P$61)^(-Q78)</f>
        <v>0.9984816909500323</v>
      </c>
      <c r="R102" s="17">
        <f t="shared" si="37"/>
        <v>0.9977234011173185</v>
      </c>
      <c r="S102" s="17">
        <f t="shared" si="37"/>
        <v>0.9969656871624358</v>
      </c>
      <c r="T102" s="17">
        <f t="shared" si="37"/>
        <v>0.9962085486480374</v>
      </c>
      <c r="U102" s="17">
        <f t="shared" si="37"/>
        <v>0.9954519851371098</v>
      </c>
      <c r="V102" s="17">
        <f t="shared" si="37"/>
        <v>0.9946959961929701</v>
      </c>
      <c r="W102" s="17">
        <f t="shared" si="37"/>
        <v>0.9939405813792677</v>
      </c>
      <c r="X102" s="17">
        <f t="shared" si="37"/>
        <v>0.9931857402599836</v>
      </c>
      <c r="Y102" s="17">
        <f t="shared" si="37"/>
        <v>0.9924314723994294</v>
      </c>
      <c r="Z102" s="17">
        <f t="shared" si="37"/>
        <v>0.9924314723994294</v>
      </c>
      <c r="AA102" s="17">
        <f t="shared" si="37"/>
        <v>0.9924314723994294</v>
      </c>
      <c r="AB102" s="17">
        <f t="shared" si="37"/>
        <v>0.9924314723994294</v>
      </c>
      <c r="AC102" s="17">
        <f t="shared" si="37"/>
        <v>0.9924314723994294</v>
      </c>
      <c r="AD102" s="17">
        <f t="shared" si="37"/>
        <v>0.9924314723994294</v>
      </c>
      <c r="AE102" s="17">
        <f t="shared" si="37"/>
        <v>0.9924314723994294</v>
      </c>
      <c r="AF102" s="17">
        <f t="shared" si="37"/>
        <v>0.9924314723994294</v>
      </c>
    </row>
    <row r="103" spans="1:32" ht="11.25">
      <c r="A103" s="44" t="s">
        <v>141</v>
      </c>
      <c r="B103" s="44"/>
      <c r="G103">
        <f t="shared" si="25"/>
        <v>2015</v>
      </c>
      <c r="H103" s="3"/>
      <c r="I103" s="79"/>
      <c r="J103" s="16">
        <f t="shared" si="27"/>
        <v>1</v>
      </c>
      <c r="K103" s="16">
        <f t="shared" si="28"/>
        <v>1</v>
      </c>
      <c r="L103" s="17">
        <f t="shared" si="30"/>
        <v>1</v>
      </c>
      <c r="M103" s="17">
        <f t="shared" si="32"/>
        <v>1</v>
      </c>
      <c r="N103" s="17">
        <f t="shared" si="34"/>
        <v>1</v>
      </c>
      <c r="O103" s="17">
        <f t="shared" si="36"/>
        <v>1</v>
      </c>
      <c r="P103" s="17">
        <f aca="true" t="shared" si="38" ref="P103:P118">(1+$P$61)^(-P79)</f>
        <v>1</v>
      </c>
      <c r="Q103" s="17">
        <f aca="true" t="shared" si="39" ref="Q103:AF103">(1+$Q$61)^(-Q79)</f>
        <v>0.9992559651908838</v>
      </c>
      <c r="R103" s="17">
        <f t="shared" si="39"/>
        <v>0.9985124839695646</v>
      </c>
      <c r="S103" s="17">
        <f t="shared" si="39"/>
        <v>0.9977695559241541</v>
      </c>
      <c r="T103" s="17">
        <f t="shared" si="39"/>
        <v>0.9970271806430702</v>
      </c>
      <c r="U103" s="17">
        <f t="shared" si="39"/>
        <v>0.9962853577150368</v>
      </c>
      <c r="V103" s="17">
        <f t="shared" si="39"/>
        <v>0.9955440867290839</v>
      </c>
      <c r="W103" s="17">
        <f t="shared" si="39"/>
        <v>0.9948033672745477</v>
      </c>
      <c r="X103" s="17">
        <f t="shared" si="39"/>
        <v>0.9940631989410693</v>
      </c>
      <c r="Y103" s="17">
        <f t="shared" si="39"/>
        <v>0.9933235813185957</v>
      </c>
      <c r="Z103" s="17">
        <f t="shared" si="39"/>
        <v>0.9925845139973787</v>
      </c>
      <c r="AA103" s="17">
        <f t="shared" si="39"/>
        <v>0.9925845139973787</v>
      </c>
      <c r="AB103" s="17">
        <f t="shared" si="39"/>
        <v>0.9925845139973787</v>
      </c>
      <c r="AC103" s="17">
        <f t="shared" si="39"/>
        <v>0.9925845139973787</v>
      </c>
      <c r="AD103" s="17">
        <f t="shared" si="39"/>
        <v>0.9925845139973787</v>
      </c>
      <c r="AE103" s="17">
        <f t="shared" si="39"/>
        <v>0.9925845139973787</v>
      </c>
      <c r="AF103" s="17">
        <f t="shared" si="39"/>
        <v>0.9925845139973787</v>
      </c>
    </row>
    <row r="104" spans="1:32" ht="11.25">
      <c r="A104" s="44" t="s">
        <v>141</v>
      </c>
      <c r="B104" s="44"/>
      <c r="G104">
        <f t="shared" si="25"/>
        <v>2016</v>
      </c>
      <c r="J104" s="16">
        <f t="shared" si="27"/>
        <v>1</v>
      </c>
      <c r="K104" s="16">
        <f t="shared" si="28"/>
        <v>1</v>
      </c>
      <c r="L104" s="17">
        <f t="shared" si="30"/>
        <v>1</v>
      </c>
      <c r="M104" s="17">
        <f t="shared" si="32"/>
        <v>1</v>
      </c>
      <c r="N104" s="17">
        <f t="shared" si="34"/>
        <v>1</v>
      </c>
      <c r="O104" s="17">
        <f t="shared" si="36"/>
        <v>1</v>
      </c>
      <c r="P104" s="17">
        <f t="shared" si="38"/>
        <v>1</v>
      </c>
      <c r="Q104" s="17">
        <f aca="true" t="shared" si="40" ref="Q104:Q118">(1+$Q$61)^(-Q80)</f>
        <v>1</v>
      </c>
      <c r="R104" s="17">
        <f>(1+$R$61)^(-R80)</f>
        <v>0.9992708454639345</v>
      </c>
      <c r="S104" s="17">
        <f aca="true" t="shared" si="41" ref="S104:AF104">(1+$R$61)^(-S80)</f>
        <v>0.9985422225942063</v>
      </c>
      <c r="T104" s="17">
        <f t="shared" si="41"/>
        <v>0.9978141310031488</v>
      </c>
      <c r="U104" s="17">
        <f t="shared" si="41"/>
        <v>0.9970865703033774</v>
      </c>
      <c r="V104" s="17">
        <f t="shared" si="41"/>
        <v>0.9963595401077906</v>
      </c>
      <c r="W104" s="17">
        <f t="shared" si="41"/>
        <v>0.995633040029569</v>
      </c>
      <c r="X104" s="17">
        <f t="shared" si="41"/>
        <v>0.9949070696821747</v>
      </c>
      <c r="Y104" s="17">
        <f t="shared" si="41"/>
        <v>0.9941816286793521</v>
      </c>
      <c r="Z104" s="17">
        <f t="shared" si="41"/>
        <v>0.9934567166351276</v>
      </c>
      <c r="AA104" s="17">
        <f t="shared" si="41"/>
        <v>0.9927323331638083</v>
      </c>
      <c r="AB104" s="17">
        <f t="shared" si="41"/>
        <v>0.9927323331638083</v>
      </c>
      <c r="AC104" s="17">
        <f t="shared" si="41"/>
        <v>0.9927323331638083</v>
      </c>
      <c r="AD104" s="17">
        <f t="shared" si="41"/>
        <v>0.9927323331638083</v>
      </c>
      <c r="AE104" s="17">
        <f t="shared" si="41"/>
        <v>0.9927323331638083</v>
      </c>
      <c r="AF104" s="17">
        <f t="shared" si="41"/>
        <v>0.9927323331638083</v>
      </c>
    </row>
    <row r="105" spans="1:32" ht="11.25">
      <c r="A105" s="44" t="s">
        <v>141</v>
      </c>
      <c r="B105" s="44"/>
      <c r="G105">
        <f t="shared" si="25"/>
        <v>2017</v>
      </c>
      <c r="J105" s="16">
        <f t="shared" si="27"/>
        <v>1</v>
      </c>
      <c r="K105" s="16">
        <f t="shared" si="28"/>
        <v>1</v>
      </c>
      <c r="L105" s="17">
        <f t="shared" si="30"/>
        <v>1</v>
      </c>
      <c r="M105" s="17">
        <f t="shared" si="32"/>
        <v>1</v>
      </c>
      <c r="N105" s="17">
        <f t="shared" si="34"/>
        <v>1</v>
      </c>
      <c r="O105" s="17">
        <f t="shared" si="36"/>
        <v>1</v>
      </c>
      <c r="P105" s="17">
        <f t="shared" si="38"/>
        <v>1</v>
      </c>
      <c r="Q105" s="17">
        <f t="shared" si="40"/>
        <v>1</v>
      </c>
      <c r="R105" s="17">
        <f>(1+$R$61)^(-R81)</f>
        <v>1</v>
      </c>
      <c r="S105" s="17">
        <f>(1+$S$61)^(-S81)</f>
        <v>0.9992852245554414</v>
      </c>
      <c r="T105" s="17">
        <f aca="true" t="shared" si="42" ref="T105:AF105">(1+$S$61)^(-T81)</f>
        <v>0.9985709600148187</v>
      </c>
      <c r="U105" s="17">
        <f t="shared" si="42"/>
        <v>0.9978572060129508</v>
      </c>
      <c r="V105" s="17">
        <f t="shared" si="42"/>
        <v>0.9971439621849171</v>
      </c>
      <c r="W105" s="17">
        <f t="shared" si="42"/>
        <v>0.9964312281660573</v>
      </c>
      <c r="X105" s="17">
        <f t="shared" si="42"/>
        <v>0.9957190035919727</v>
      </c>
      <c r="Y105" s="17">
        <f t="shared" si="42"/>
        <v>0.9950072880985248</v>
      </c>
      <c r="Z105" s="17">
        <f t="shared" si="42"/>
        <v>0.9942960813218351</v>
      </c>
      <c r="AA105" s="17">
        <f t="shared" si="42"/>
        <v>0.9935853828982854</v>
      </c>
      <c r="AB105" s="17">
        <f t="shared" si="42"/>
        <v>0.9928751924645173</v>
      </c>
      <c r="AC105" s="17">
        <f t="shared" si="42"/>
        <v>0.9928751924645173</v>
      </c>
      <c r="AD105" s="17">
        <f t="shared" si="42"/>
        <v>0.9928751924645173</v>
      </c>
      <c r="AE105" s="17">
        <f t="shared" si="42"/>
        <v>0.9928751924645173</v>
      </c>
      <c r="AF105" s="17">
        <f t="shared" si="42"/>
        <v>0.9928751924645173</v>
      </c>
    </row>
    <row r="106" spans="1:32" ht="11.25">
      <c r="A106" s="44" t="s">
        <v>141</v>
      </c>
      <c r="B106" s="44"/>
      <c r="G106">
        <f t="shared" si="25"/>
        <v>2018</v>
      </c>
      <c r="J106" s="16">
        <f t="shared" si="27"/>
        <v>1</v>
      </c>
      <c r="K106" s="16">
        <f t="shared" si="28"/>
        <v>1</v>
      </c>
      <c r="L106" s="17">
        <f t="shared" si="30"/>
        <v>1</v>
      </c>
      <c r="M106" s="17">
        <f t="shared" si="32"/>
        <v>1</v>
      </c>
      <c r="N106" s="17">
        <f t="shared" si="34"/>
        <v>1</v>
      </c>
      <c r="O106" s="17">
        <f t="shared" si="36"/>
        <v>1</v>
      </c>
      <c r="P106" s="17">
        <f t="shared" si="38"/>
        <v>1</v>
      </c>
      <c r="Q106" s="17">
        <f t="shared" si="40"/>
        <v>1</v>
      </c>
      <c r="R106" s="17">
        <f>(1+$R$61)^(-R82)</f>
        <v>1</v>
      </c>
      <c r="S106" s="17">
        <f>(1+$S$61)^(-S82)</f>
        <v>1</v>
      </c>
      <c r="T106" s="17">
        <f>(1+$T$61)^(-T82)</f>
        <v>0.9992991273404729</v>
      </c>
      <c r="U106" s="17">
        <f aca="true" t="shared" si="43" ref="U106:AF106">(1+$T$61)^(-U82)</f>
        <v>0.9985987459034307</v>
      </c>
      <c r="V106" s="17">
        <f t="shared" si="43"/>
        <v>0.9978988553445888</v>
      </c>
      <c r="W106" s="17">
        <f t="shared" si="43"/>
        <v>0.9971994553199044</v>
      </c>
      <c r="X106" s="17">
        <f t="shared" si="43"/>
        <v>0.9965005454855753</v>
      </c>
      <c r="Y106" s="17">
        <f t="shared" si="43"/>
        <v>0.9958021254980406</v>
      </c>
      <c r="Z106" s="17">
        <f t="shared" si="43"/>
        <v>0.9951041950139802</v>
      </c>
      <c r="AA106" s="17">
        <f t="shared" si="43"/>
        <v>0.9944067536903141</v>
      </c>
      <c r="AB106" s="17">
        <f t="shared" si="43"/>
        <v>0.9937098011842034</v>
      </c>
      <c r="AC106" s="17">
        <f t="shared" si="43"/>
        <v>0.9930133371530492</v>
      </c>
      <c r="AD106" s="17">
        <f t="shared" si="43"/>
        <v>0.9930133371530492</v>
      </c>
      <c r="AE106" s="17">
        <f t="shared" si="43"/>
        <v>0.9930133371530492</v>
      </c>
      <c r="AF106" s="17">
        <f t="shared" si="43"/>
        <v>0.9930133371530492</v>
      </c>
    </row>
    <row r="107" spans="1:32" ht="11.25">
      <c r="A107" s="44" t="s">
        <v>141</v>
      </c>
      <c r="B107" s="44"/>
      <c r="G107">
        <f t="shared" si="25"/>
        <v>2019</v>
      </c>
      <c r="J107" s="16">
        <f t="shared" si="27"/>
        <v>1</v>
      </c>
      <c r="K107" s="16">
        <f t="shared" si="28"/>
        <v>1</v>
      </c>
      <c r="L107" s="17">
        <f t="shared" si="30"/>
        <v>1</v>
      </c>
      <c r="M107" s="17">
        <f t="shared" si="32"/>
        <v>1</v>
      </c>
      <c r="N107" s="17">
        <f t="shared" si="34"/>
        <v>1</v>
      </c>
      <c r="O107" s="17">
        <f t="shared" si="36"/>
        <v>1</v>
      </c>
      <c r="P107" s="17">
        <f t="shared" si="38"/>
        <v>1</v>
      </c>
      <c r="Q107" s="17">
        <f t="shared" si="40"/>
        <v>1</v>
      </c>
      <c r="R107" s="17">
        <f>(1+$R$61)^(-R83)</f>
        <v>1</v>
      </c>
      <c r="S107" s="17">
        <f>(1+$S$61)^(-S83)</f>
        <v>1</v>
      </c>
      <c r="T107" s="17">
        <f>(1+$T$61)^(-T83)</f>
        <v>1</v>
      </c>
      <c r="U107" s="17">
        <f>(1+$U$61)^(-U83)</f>
        <v>0.9993125770746075</v>
      </c>
      <c r="V107" s="17">
        <f aca="true" t="shared" si="44" ref="V107:AF107">(1+$U$61)^(-V83)</f>
        <v>0.9986256266994933</v>
      </c>
      <c r="W107" s="17">
        <f t="shared" si="44"/>
        <v>0.9979391485498156</v>
      </c>
      <c r="X107" s="17">
        <f t="shared" si="44"/>
        <v>0.9972531423009557</v>
      </c>
      <c r="Y107" s="17">
        <f t="shared" si="44"/>
        <v>0.9965676076285183</v>
      </c>
      <c r="Z107" s="17">
        <f t="shared" si="44"/>
        <v>0.9958825442083309</v>
      </c>
      <c r="AA107" s="17">
        <f t="shared" si="44"/>
        <v>0.9951979517164438</v>
      </c>
      <c r="AB107" s="17">
        <f t="shared" si="44"/>
        <v>0.9945138298291302</v>
      </c>
      <c r="AC107" s="17">
        <f t="shared" si="44"/>
        <v>0.9938301782228858</v>
      </c>
      <c r="AD107" s="17">
        <f t="shared" si="44"/>
        <v>0.9931469965744284</v>
      </c>
      <c r="AE107" s="17">
        <f t="shared" si="44"/>
        <v>0.9931469965744284</v>
      </c>
      <c r="AF107" s="17">
        <f t="shared" si="44"/>
        <v>0.9931469965744284</v>
      </c>
    </row>
    <row r="108" spans="1:32" ht="11.25">
      <c r="A108" s="44" t="s">
        <v>141</v>
      </c>
      <c r="B108" s="44"/>
      <c r="G108">
        <f t="shared" si="25"/>
        <v>2020</v>
      </c>
      <c r="J108" s="16">
        <f t="shared" si="27"/>
        <v>1</v>
      </c>
      <c r="K108" s="16">
        <f t="shared" si="28"/>
        <v>1</v>
      </c>
      <c r="L108" s="17">
        <f t="shared" si="30"/>
        <v>1</v>
      </c>
      <c r="M108" s="17">
        <f t="shared" si="32"/>
        <v>1</v>
      </c>
      <c r="N108" s="17">
        <f t="shared" si="34"/>
        <v>1</v>
      </c>
      <c r="O108" s="17">
        <f t="shared" si="36"/>
        <v>1</v>
      </c>
      <c r="P108" s="17">
        <f t="shared" si="38"/>
        <v>1</v>
      </c>
      <c r="Q108" s="17">
        <f t="shared" si="40"/>
        <v>1</v>
      </c>
      <c r="R108" s="17">
        <f>(1+$R$61)^(-R84)</f>
        <v>1</v>
      </c>
      <c r="S108" s="17">
        <f>(1+$S$61)^(-S84)</f>
        <v>1</v>
      </c>
      <c r="T108" s="17">
        <f>(1+$T$61)^(-T84)</f>
        <v>1</v>
      </c>
      <c r="U108" s="17">
        <f>(1+$U$61)^(-U84)</f>
        <v>1</v>
      </c>
      <c r="V108" s="17">
        <f>(1+$V$61)^(-V84)</f>
        <v>0.9993255955236213</v>
      </c>
      <c r="W108" s="17">
        <f aca="true" t="shared" si="45" ref="W108:AF108">(1+$V$61)^(-W84)</f>
        <v>0.9986516458686405</v>
      </c>
      <c r="X108" s="17">
        <f t="shared" si="45"/>
        <v>0.9979781507283239</v>
      </c>
      <c r="Y108" s="17">
        <f t="shared" si="45"/>
        <v>0.9973051097961446</v>
      </c>
      <c r="Z108" s="17">
        <f t="shared" si="45"/>
        <v>0.9966325227657828</v>
      </c>
      <c r="AA108" s="17">
        <f t="shared" si="45"/>
        <v>0.995960389331125</v>
      </c>
      <c r="AB108" s="17">
        <f t="shared" si="45"/>
        <v>0.9952887091862643</v>
      </c>
      <c r="AC108" s="17">
        <f t="shared" si="45"/>
        <v>0.9946174820254999</v>
      </c>
      <c r="AD108" s="17">
        <f t="shared" si="45"/>
        <v>0.9939467075433377</v>
      </c>
      <c r="AE108" s="17">
        <f t="shared" si="45"/>
        <v>0.9932763854344887</v>
      </c>
      <c r="AF108" s="17">
        <f t="shared" si="45"/>
        <v>0.9932763854344887</v>
      </c>
    </row>
    <row r="109" spans="1:32" ht="11.25">
      <c r="A109" s="44" t="s">
        <v>141</v>
      </c>
      <c r="G109">
        <f t="shared" si="25"/>
        <v>2021</v>
      </c>
      <c r="J109" s="16">
        <f t="shared" si="27"/>
        <v>1</v>
      </c>
      <c r="K109" s="16">
        <f t="shared" si="28"/>
        <v>1</v>
      </c>
      <c r="L109" s="17">
        <f t="shared" si="30"/>
        <v>1</v>
      </c>
      <c r="M109" s="17">
        <f t="shared" si="32"/>
        <v>1</v>
      </c>
      <c r="N109" s="17">
        <f t="shared" si="34"/>
        <v>1</v>
      </c>
      <c r="O109" s="17">
        <f t="shared" si="36"/>
        <v>1</v>
      </c>
      <c r="P109" s="17">
        <f t="shared" si="38"/>
        <v>1</v>
      </c>
      <c r="Q109" s="17">
        <f t="shared" si="40"/>
        <v>1</v>
      </c>
      <c r="R109" s="17">
        <f aca="true" t="shared" si="46" ref="R109:R118">(1+$R$61)^(-R85)</f>
        <v>1</v>
      </c>
      <c r="S109" s="17">
        <f aca="true" t="shared" si="47" ref="S109:S118">(1+$S$61)^(-S85)</f>
        <v>1</v>
      </c>
      <c r="T109" s="17">
        <f aca="true" t="shared" si="48" ref="T109:T118">(1+$T$61)^(-T85)</f>
        <v>1</v>
      </c>
      <c r="U109" s="17">
        <f aca="true" t="shared" si="49" ref="U109:U118">(1+$U$61)^(-U85)</f>
        <v>1</v>
      </c>
      <c r="V109" s="17">
        <f aca="true" t="shared" si="50" ref="V109:AF118">(1+$V$61)^(-V85)</f>
        <v>1</v>
      </c>
      <c r="W109" s="17">
        <f t="shared" si="50"/>
        <v>0.9993255955236213</v>
      </c>
      <c r="X109" s="17">
        <f t="shared" si="50"/>
        <v>0.9986516458686405</v>
      </c>
      <c r="Y109" s="17">
        <f t="shared" si="50"/>
        <v>0.9979781507283239</v>
      </c>
      <c r="Z109" s="17">
        <f t="shared" si="50"/>
        <v>0.9973051097961446</v>
      </c>
      <c r="AA109" s="17">
        <f t="shared" si="50"/>
        <v>0.9966325227657828</v>
      </c>
      <c r="AB109" s="17">
        <f t="shared" si="50"/>
        <v>0.995960389331125</v>
      </c>
      <c r="AC109" s="17">
        <f t="shared" si="50"/>
        <v>0.9952887091862643</v>
      </c>
      <c r="AD109" s="17">
        <f t="shared" si="50"/>
        <v>0.9946174820254999</v>
      </c>
      <c r="AE109" s="17">
        <f t="shared" si="50"/>
        <v>0.9939467075433377</v>
      </c>
      <c r="AF109" s="17">
        <f t="shared" si="50"/>
        <v>0.9932763854344887</v>
      </c>
    </row>
    <row r="110" spans="1:32" ht="11.25">
      <c r="A110" s="44" t="s">
        <v>141</v>
      </c>
      <c r="G110">
        <f t="shared" si="25"/>
        <v>2022</v>
      </c>
      <c r="J110" s="16">
        <f t="shared" si="27"/>
        <v>1</v>
      </c>
      <c r="K110" s="16">
        <f t="shared" si="28"/>
        <v>1</v>
      </c>
      <c r="L110" s="17">
        <f t="shared" si="30"/>
        <v>1</v>
      </c>
      <c r="M110" s="17">
        <f t="shared" si="32"/>
        <v>1</v>
      </c>
      <c r="N110" s="17">
        <f t="shared" si="34"/>
        <v>1</v>
      </c>
      <c r="O110" s="17">
        <f t="shared" si="36"/>
        <v>1</v>
      </c>
      <c r="P110" s="17">
        <f t="shared" si="38"/>
        <v>1</v>
      </c>
      <c r="Q110" s="17">
        <f t="shared" si="40"/>
        <v>1</v>
      </c>
      <c r="R110" s="17">
        <f t="shared" si="46"/>
        <v>1</v>
      </c>
      <c r="S110" s="17">
        <f t="shared" si="47"/>
        <v>1</v>
      </c>
      <c r="T110" s="17">
        <f t="shared" si="48"/>
        <v>1</v>
      </c>
      <c r="U110" s="17">
        <f t="shared" si="49"/>
        <v>1</v>
      </c>
      <c r="V110" s="17">
        <f t="shared" si="50"/>
        <v>1</v>
      </c>
      <c r="W110" s="17">
        <f t="shared" si="50"/>
        <v>1</v>
      </c>
      <c r="X110" s="17">
        <f t="shared" si="50"/>
        <v>0.9993255955236213</v>
      </c>
      <c r="Y110" s="17">
        <f t="shared" si="50"/>
        <v>0.9986516458686405</v>
      </c>
      <c r="Z110" s="17">
        <f t="shared" si="50"/>
        <v>0.9979781507283239</v>
      </c>
      <c r="AA110" s="17">
        <f t="shared" si="50"/>
        <v>0.9973051097961446</v>
      </c>
      <c r="AB110" s="17">
        <f t="shared" si="50"/>
        <v>0.9966325227657828</v>
      </c>
      <c r="AC110" s="17">
        <f t="shared" si="50"/>
        <v>0.995960389331125</v>
      </c>
      <c r="AD110" s="17">
        <f t="shared" si="50"/>
        <v>0.9952887091862643</v>
      </c>
      <c r="AE110" s="17">
        <f t="shared" si="50"/>
        <v>0.9946174820254999</v>
      </c>
      <c r="AF110" s="17">
        <f t="shared" si="50"/>
        <v>0.9939467075433377</v>
      </c>
    </row>
    <row r="111" spans="1:32" ht="11.25">
      <c r="A111" s="44" t="s">
        <v>141</v>
      </c>
      <c r="G111">
        <f t="shared" si="25"/>
        <v>2023</v>
      </c>
      <c r="J111" s="16">
        <f t="shared" si="27"/>
        <v>1</v>
      </c>
      <c r="K111" s="16">
        <f t="shared" si="28"/>
        <v>1</v>
      </c>
      <c r="L111" s="17">
        <f t="shared" si="30"/>
        <v>1</v>
      </c>
      <c r="M111" s="17">
        <f t="shared" si="32"/>
        <v>1</v>
      </c>
      <c r="N111" s="17">
        <f t="shared" si="34"/>
        <v>1</v>
      </c>
      <c r="O111" s="17">
        <f t="shared" si="36"/>
        <v>1</v>
      </c>
      <c r="P111" s="17">
        <f t="shared" si="38"/>
        <v>1</v>
      </c>
      <c r="Q111" s="17">
        <f t="shared" si="40"/>
        <v>1</v>
      </c>
      <c r="R111" s="17">
        <f t="shared" si="46"/>
        <v>1</v>
      </c>
      <c r="S111" s="17">
        <f t="shared" si="47"/>
        <v>1</v>
      </c>
      <c r="T111" s="17">
        <f t="shared" si="48"/>
        <v>1</v>
      </c>
      <c r="U111" s="17">
        <f t="shared" si="49"/>
        <v>1</v>
      </c>
      <c r="V111" s="17">
        <f t="shared" si="50"/>
        <v>1</v>
      </c>
      <c r="W111" s="17">
        <f t="shared" si="50"/>
        <v>1</v>
      </c>
      <c r="X111" s="17">
        <f t="shared" si="50"/>
        <v>1</v>
      </c>
      <c r="Y111" s="17">
        <f t="shared" si="50"/>
        <v>0.9993255955236213</v>
      </c>
      <c r="Z111" s="17">
        <f t="shared" si="50"/>
        <v>0.9986516458686405</v>
      </c>
      <c r="AA111" s="17">
        <f t="shared" si="50"/>
        <v>0.9979781507283239</v>
      </c>
      <c r="AB111" s="17">
        <f t="shared" si="50"/>
        <v>0.9973051097961446</v>
      </c>
      <c r="AC111" s="17">
        <f t="shared" si="50"/>
        <v>0.9966325227657828</v>
      </c>
      <c r="AD111" s="17">
        <f t="shared" si="50"/>
        <v>0.995960389331125</v>
      </c>
      <c r="AE111" s="17">
        <f t="shared" si="50"/>
        <v>0.9952887091862643</v>
      </c>
      <c r="AF111" s="17">
        <f t="shared" si="50"/>
        <v>0.9946174820254999</v>
      </c>
    </row>
    <row r="112" spans="1:32" ht="11.25">
      <c r="A112" s="44" t="s">
        <v>141</v>
      </c>
      <c r="G112">
        <f t="shared" si="25"/>
        <v>2024</v>
      </c>
      <c r="J112" s="16">
        <f t="shared" si="27"/>
        <v>1</v>
      </c>
      <c r="K112" s="16">
        <f t="shared" si="28"/>
        <v>1</v>
      </c>
      <c r="L112" s="17">
        <f t="shared" si="30"/>
        <v>1</v>
      </c>
      <c r="M112" s="17">
        <f t="shared" si="32"/>
        <v>1</v>
      </c>
      <c r="N112" s="17">
        <f t="shared" si="34"/>
        <v>1</v>
      </c>
      <c r="O112" s="17">
        <f t="shared" si="36"/>
        <v>1</v>
      </c>
      <c r="P112" s="17">
        <f t="shared" si="38"/>
        <v>1</v>
      </c>
      <c r="Q112" s="17">
        <f t="shared" si="40"/>
        <v>1</v>
      </c>
      <c r="R112" s="17">
        <f t="shared" si="46"/>
        <v>1</v>
      </c>
      <c r="S112" s="17">
        <f t="shared" si="47"/>
        <v>1</v>
      </c>
      <c r="T112" s="17">
        <f t="shared" si="48"/>
        <v>1</v>
      </c>
      <c r="U112" s="17">
        <f t="shared" si="49"/>
        <v>1</v>
      </c>
      <c r="V112" s="17">
        <f t="shared" si="50"/>
        <v>1</v>
      </c>
      <c r="W112" s="17">
        <f t="shared" si="50"/>
        <v>1</v>
      </c>
      <c r="X112" s="17">
        <f t="shared" si="50"/>
        <v>1</v>
      </c>
      <c r="Y112" s="17">
        <f t="shared" si="50"/>
        <v>1</v>
      </c>
      <c r="Z112" s="17">
        <f t="shared" si="50"/>
        <v>0.9993255955236213</v>
      </c>
      <c r="AA112" s="17">
        <f t="shared" si="50"/>
        <v>0.9986516458686405</v>
      </c>
      <c r="AB112" s="17">
        <f t="shared" si="50"/>
        <v>0.9979781507283239</v>
      </c>
      <c r="AC112" s="17">
        <f t="shared" si="50"/>
        <v>0.9973051097961446</v>
      </c>
      <c r="AD112" s="17">
        <f t="shared" si="50"/>
        <v>0.9966325227657828</v>
      </c>
      <c r="AE112" s="17">
        <f t="shared" si="50"/>
        <v>0.995960389331125</v>
      </c>
      <c r="AF112" s="17">
        <f t="shared" si="50"/>
        <v>0.9952887091862643</v>
      </c>
    </row>
    <row r="113" spans="1:32" ht="11.25">
      <c r="A113" s="44" t="s">
        <v>141</v>
      </c>
      <c r="G113">
        <f t="shared" si="25"/>
        <v>2025</v>
      </c>
      <c r="J113" s="16">
        <f t="shared" si="27"/>
        <v>1</v>
      </c>
      <c r="K113" s="16">
        <f t="shared" si="28"/>
        <v>1</v>
      </c>
      <c r="L113" s="17">
        <f t="shared" si="30"/>
        <v>1</v>
      </c>
      <c r="M113" s="17">
        <f t="shared" si="32"/>
        <v>1</v>
      </c>
      <c r="N113" s="17">
        <f t="shared" si="34"/>
        <v>1</v>
      </c>
      <c r="O113" s="17">
        <f t="shared" si="36"/>
        <v>1</v>
      </c>
      <c r="P113" s="17">
        <f t="shared" si="38"/>
        <v>1</v>
      </c>
      <c r="Q113" s="17">
        <f t="shared" si="40"/>
        <v>1</v>
      </c>
      <c r="R113" s="17">
        <f t="shared" si="46"/>
        <v>1</v>
      </c>
      <c r="S113" s="17">
        <f t="shared" si="47"/>
        <v>1</v>
      </c>
      <c r="T113" s="17">
        <f t="shared" si="48"/>
        <v>1</v>
      </c>
      <c r="U113" s="17">
        <f t="shared" si="49"/>
        <v>1</v>
      </c>
      <c r="V113" s="17">
        <f t="shared" si="50"/>
        <v>1</v>
      </c>
      <c r="W113" s="17">
        <f t="shared" si="50"/>
        <v>1</v>
      </c>
      <c r="X113" s="17">
        <f t="shared" si="50"/>
        <v>1</v>
      </c>
      <c r="Y113" s="17">
        <f t="shared" si="50"/>
        <v>1</v>
      </c>
      <c r="Z113" s="17">
        <f t="shared" si="50"/>
        <v>1</v>
      </c>
      <c r="AA113" s="17">
        <f t="shared" si="50"/>
        <v>0.9993255955236213</v>
      </c>
      <c r="AB113" s="17">
        <f t="shared" si="50"/>
        <v>0.9986516458686405</v>
      </c>
      <c r="AC113" s="17">
        <f t="shared" si="50"/>
        <v>0.9979781507283239</v>
      </c>
      <c r="AD113" s="17">
        <f t="shared" si="50"/>
        <v>0.9973051097961446</v>
      </c>
      <c r="AE113" s="17">
        <f t="shared" si="50"/>
        <v>0.9966325227657828</v>
      </c>
      <c r="AF113" s="17">
        <f t="shared" si="50"/>
        <v>0.995960389331125</v>
      </c>
    </row>
    <row r="114" spans="1:32" ht="11.25">
      <c r="A114" s="44" t="s">
        <v>141</v>
      </c>
      <c r="G114">
        <f t="shared" si="25"/>
        <v>2026</v>
      </c>
      <c r="J114" s="16">
        <f t="shared" si="27"/>
        <v>1</v>
      </c>
      <c r="K114" s="16">
        <f t="shared" si="28"/>
        <v>1</v>
      </c>
      <c r="L114" s="17">
        <f t="shared" si="30"/>
        <v>1</v>
      </c>
      <c r="M114" s="17">
        <f t="shared" si="32"/>
        <v>1</v>
      </c>
      <c r="N114" s="17">
        <f t="shared" si="34"/>
        <v>1</v>
      </c>
      <c r="O114" s="17">
        <f t="shared" si="36"/>
        <v>1</v>
      </c>
      <c r="P114" s="17">
        <f t="shared" si="38"/>
        <v>1</v>
      </c>
      <c r="Q114" s="17">
        <f t="shared" si="40"/>
        <v>1</v>
      </c>
      <c r="R114" s="17">
        <f t="shared" si="46"/>
        <v>1</v>
      </c>
      <c r="S114" s="17">
        <f t="shared" si="47"/>
        <v>1</v>
      </c>
      <c r="T114" s="17">
        <f t="shared" si="48"/>
        <v>1</v>
      </c>
      <c r="U114" s="17">
        <f t="shared" si="49"/>
        <v>1</v>
      </c>
      <c r="V114" s="17">
        <f t="shared" si="50"/>
        <v>1</v>
      </c>
      <c r="W114" s="17">
        <f t="shared" si="50"/>
        <v>1</v>
      </c>
      <c r="X114" s="17">
        <f t="shared" si="50"/>
        <v>1</v>
      </c>
      <c r="Y114" s="17">
        <f t="shared" si="50"/>
        <v>1</v>
      </c>
      <c r="Z114" s="17">
        <f t="shared" si="50"/>
        <v>1</v>
      </c>
      <c r="AA114" s="17">
        <f t="shared" si="50"/>
        <v>1</v>
      </c>
      <c r="AB114" s="17">
        <f t="shared" si="50"/>
        <v>0.9993255955236213</v>
      </c>
      <c r="AC114" s="17">
        <f t="shared" si="50"/>
        <v>0.9986516458686405</v>
      </c>
      <c r="AD114" s="17">
        <f t="shared" si="50"/>
        <v>0.9979781507283239</v>
      </c>
      <c r="AE114" s="17">
        <f t="shared" si="50"/>
        <v>0.9973051097961446</v>
      </c>
      <c r="AF114" s="17">
        <f t="shared" si="50"/>
        <v>0.9966325227657828</v>
      </c>
    </row>
    <row r="115" spans="1:32" ht="11.25">
      <c r="A115" s="44" t="s">
        <v>141</v>
      </c>
      <c r="G115">
        <f t="shared" si="25"/>
        <v>2027</v>
      </c>
      <c r="J115" s="16">
        <f t="shared" si="27"/>
        <v>1</v>
      </c>
      <c r="K115" s="16">
        <f t="shared" si="28"/>
        <v>1</v>
      </c>
      <c r="L115" s="17">
        <f t="shared" si="30"/>
        <v>1</v>
      </c>
      <c r="M115" s="17">
        <f t="shared" si="32"/>
        <v>1</v>
      </c>
      <c r="N115" s="17">
        <f t="shared" si="34"/>
        <v>1</v>
      </c>
      <c r="O115" s="17">
        <f t="shared" si="36"/>
        <v>1</v>
      </c>
      <c r="P115" s="17">
        <f t="shared" si="38"/>
        <v>1</v>
      </c>
      <c r="Q115" s="17">
        <f t="shared" si="40"/>
        <v>1</v>
      </c>
      <c r="R115" s="17">
        <f t="shared" si="46"/>
        <v>1</v>
      </c>
      <c r="S115" s="17">
        <f t="shared" si="47"/>
        <v>1</v>
      </c>
      <c r="T115" s="17">
        <f t="shared" si="48"/>
        <v>1</v>
      </c>
      <c r="U115" s="17">
        <f t="shared" si="49"/>
        <v>1</v>
      </c>
      <c r="V115" s="17">
        <f t="shared" si="50"/>
        <v>1</v>
      </c>
      <c r="W115" s="17">
        <f t="shared" si="50"/>
        <v>1</v>
      </c>
      <c r="X115" s="17">
        <f t="shared" si="50"/>
        <v>1</v>
      </c>
      <c r="Y115" s="17">
        <f t="shared" si="50"/>
        <v>1</v>
      </c>
      <c r="Z115" s="17">
        <f t="shared" si="50"/>
        <v>1</v>
      </c>
      <c r="AA115" s="17">
        <f t="shared" si="50"/>
        <v>1</v>
      </c>
      <c r="AB115" s="17">
        <f t="shared" si="50"/>
        <v>1</v>
      </c>
      <c r="AC115" s="17">
        <f t="shared" si="50"/>
        <v>0.9993255955236213</v>
      </c>
      <c r="AD115" s="17">
        <f t="shared" si="50"/>
        <v>0.9986516458686405</v>
      </c>
      <c r="AE115" s="17">
        <f t="shared" si="50"/>
        <v>0.9979781507283239</v>
      </c>
      <c r="AF115" s="17">
        <f t="shared" si="50"/>
        <v>0.9973051097961446</v>
      </c>
    </row>
    <row r="116" spans="1:32" ht="11.25">
      <c r="A116" s="44" t="s">
        <v>141</v>
      </c>
      <c r="G116">
        <f t="shared" si="25"/>
        <v>2028</v>
      </c>
      <c r="J116" s="16">
        <f t="shared" si="27"/>
        <v>1</v>
      </c>
      <c r="K116" s="16">
        <f t="shared" si="28"/>
        <v>1</v>
      </c>
      <c r="L116" s="17">
        <f t="shared" si="30"/>
        <v>1</v>
      </c>
      <c r="M116" s="17">
        <f t="shared" si="32"/>
        <v>1</v>
      </c>
      <c r="N116" s="17">
        <f t="shared" si="34"/>
        <v>1</v>
      </c>
      <c r="O116" s="17">
        <f t="shared" si="36"/>
        <v>1</v>
      </c>
      <c r="P116" s="17">
        <f t="shared" si="38"/>
        <v>1</v>
      </c>
      <c r="Q116" s="17">
        <f t="shared" si="40"/>
        <v>1</v>
      </c>
      <c r="R116" s="17">
        <f t="shared" si="46"/>
        <v>1</v>
      </c>
      <c r="S116" s="17">
        <f t="shared" si="47"/>
        <v>1</v>
      </c>
      <c r="T116" s="17">
        <f t="shared" si="48"/>
        <v>1</v>
      </c>
      <c r="U116" s="17">
        <f t="shared" si="49"/>
        <v>1</v>
      </c>
      <c r="V116" s="17">
        <f t="shared" si="50"/>
        <v>1</v>
      </c>
      <c r="W116" s="17">
        <f t="shared" si="50"/>
        <v>1</v>
      </c>
      <c r="X116" s="17">
        <f t="shared" si="50"/>
        <v>1</v>
      </c>
      <c r="Y116" s="17">
        <f t="shared" si="50"/>
        <v>1</v>
      </c>
      <c r="Z116" s="17">
        <f t="shared" si="50"/>
        <v>1</v>
      </c>
      <c r="AA116" s="17">
        <f t="shared" si="50"/>
        <v>1</v>
      </c>
      <c r="AB116" s="17">
        <f t="shared" si="50"/>
        <v>1</v>
      </c>
      <c r="AC116" s="17">
        <f t="shared" si="50"/>
        <v>1</v>
      </c>
      <c r="AD116" s="17">
        <f t="shared" si="50"/>
        <v>0.9993255955236213</v>
      </c>
      <c r="AE116" s="17">
        <f t="shared" si="50"/>
        <v>0.9986516458686405</v>
      </c>
      <c r="AF116" s="17">
        <f t="shared" si="50"/>
        <v>0.9979781507283239</v>
      </c>
    </row>
    <row r="117" spans="1:32" ht="11.25">
      <c r="A117" s="44" t="s">
        <v>141</v>
      </c>
      <c r="G117">
        <f t="shared" si="25"/>
        <v>2029</v>
      </c>
      <c r="J117" s="16">
        <f t="shared" si="27"/>
        <v>1</v>
      </c>
      <c r="K117" s="16">
        <f t="shared" si="28"/>
        <v>1</v>
      </c>
      <c r="L117" s="17">
        <f t="shared" si="30"/>
        <v>1</v>
      </c>
      <c r="M117" s="17">
        <f t="shared" si="32"/>
        <v>1</v>
      </c>
      <c r="N117" s="17">
        <f t="shared" si="34"/>
        <v>1</v>
      </c>
      <c r="O117" s="17">
        <f t="shared" si="36"/>
        <v>1</v>
      </c>
      <c r="P117" s="17">
        <f t="shared" si="38"/>
        <v>1</v>
      </c>
      <c r="Q117" s="17">
        <f t="shared" si="40"/>
        <v>1</v>
      </c>
      <c r="R117" s="17">
        <f t="shared" si="46"/>
        <v>1</v>
      </c>
      <c r="S117" s="17">
        <f t="shared" si="47"/>
        <v>1</v>
      </c>
      <c r="T117" s="17">
        <f t="shared" si="48"/>
        <v>1</v>
      </c>
      <c r="U117" s="17">
        <f t="shared" si="49"/>
        <v>1</v>
      </c>
      <c r="V117" s="17">
        <f t="shared" si="50"/>
        <v>1</v>
      </c>
      <c r="W117" s="17">
        <f t="shared" si="50"/>
        <v>1</v>
      </c>
      <c r="X117" s="17">
        <f t="shared" si="50"/>
        <v>1</v>
      </c>
      <c r="Y117" s="17">
        <f t="shared" si="50"/>
        <v>1</v>
      </c>
      <c r="Z117" s="17">
        <f t="shared" si="50"/>
        <v>1</v>
      </c>
      <c r="AA117" s="17">
        <f t="shared" si="50"/>
        <v>1</v>
      </c>
      <c r="AB117" s="17">
        <f t="shared" si="50"/>
        <v>1</v>
      </c>
      <c r="AC117" s="17">
        <f t="shared" si="50"/>
        <v>1</v>
      </c>
      <c r="AD117" s="17">
        <f t="shared" si="50"/>
        <v>1</v>
      </c>
      <c r="AE117" s="17">
        <f t="shared" si="50"/>
        <v>0.9993255955236213</v>
      </c>
      <c r="AF117" s="17">
        <f t="shared" si="50"/>
        <v>0.9986516458686405</v>
      </c>
    </row>
    <row r="118" spans="1:32" ht="11.25">
      <c r="A118" s="44" t="s">
        <v>141</v>
      </c>
      <c r="G118">
        <f t="shared" si="25"/>
        <v>2030</v>
      </c>
      <c r="J118" s="16">
        <f t="shared" si="27"/>
        <v>1</v>
      </c>
      <c r="K118" s="16">
        <f t="shared" si="28"/>
        <v>1</v>
      </c>
      <c r="L118" s="17">
        <f t="shared" si="30"/>
        <v>1</v>
      </c>
      <c r="M118" s="17">
        <f t="shared" si="32"/>
        <v>1</v>
      </c>
      <c r="N118" s="17">
        <f t="shared" si="34"/>
        <v>1</v>
      </c>
      <c r="O118" s="17">
        <f t="shared" si="36"/>
        <v>1</v>
      </c>
      <c r="P118" s="17">
        <f t="shared" si="38"/>
        <v>1</v>
      </c>
      <c r="Q118" s="17">
        <f t="shared" si="40"/>
        <v>1</v>
      </c>
      <c r="R118" s="17">
        <f t="shared" si="46"/>
        <v>1</v>
      </c>
      <c r="S118" s="17">
        <f t="shared" si="47"/>
        <v>1</v>
      </c>
      <c r="T118" s="17">
        <f t="shared" si="48"/>
        <v>1</v>
      </c>
      <c r="U118" s="17">
        <f t="shared" si="49"/>
        <v>1</v>
      </c>
      <c r="V118" s="17">
        <f t="shared" si="50"/>
        <v>1</v>
      </c>
      <c r="W118" s="17">
        <f t="shared" si="50"/>
        <v>1</v>
      </c>
      <c r="X118" s="17">
        <f t="shared" si="50"/>
        <v>1</v>
      </c>
      <c r="Y118" s="17">
        <f t="shared" si="50"/>
        <v>1</v>
      </c>
      <c r="Z118" s="17">
        <f t="shared" si="50"/>
        <v>1</v>
      </c>
      <c r="AA118" s="17">
        <f t="shared" si="50"/>
        <v>1</v>
      </c>
      <c r="AB118" s="17">
        <f t="shared" si="50"/>
        <v>1</v>
      </c>
      <c r="AC118" s="17">
        <f t="shared" si="50"/>
        <v>1</v>
      </c>
      <c r="AD118" s="17">
        <f t="shared" si="50"/>
        <v>1</v>
      </c>
      <c r="AE118" s="17">
        <f t="shared" si="50"/>
        <v>1</v>
      </c>
      <c r="AF118" s="17">
        <f t="shared" si="50"/>
        <v>0.9993255955236213</v>
      </c>
    </row>
    <row r="120" spans="1:32" ht="11.25">
      <c r="A120" t="s">
        <v>142</v>
      </c>
      <c r="J120" s="42">
        <f aca="true" t="shared" si="51" ref="J120:AF120">1-J96*J97*J98*J99*J100*J101*J102*J103*J104*J105*J106*J107*J108</f>
        <v>0.0008647335734416339</v>
      </c>
      <c r="K120" s="42">
        <f t="shared" si="51"/>
        <v>0.0025727357783650318</v>
      </c>
      <c r="L120" s="42">
        <f t="shared" si="51"/>
        <v>0.0051012379598874835</v>
      </c>
      <c r="M120" s="42">
        <f t="shared" si="51"/>
        <v>0.008426292445130268</v>
      </c>
      <c r="N120" s="42">
        <f t="shared" si="51"/>
        <v>0.012522895356063324</v>
      </c>
      <c r="O120" s="42">
        <f t="shared" si="51"/>
        <v>0.01736510711457384</v>
      </c>
      <c r="P120" s="42">
        <f t="shared" si="51"/>
        <v>0.022926170253745215</v>
      </c>
      <c r="Q120" s="42">
        <f t="shared" si="51"/>
        <v>0.02917862418819861</v>
      </c>
      <c r="R120" s="42">
        <f t="shared" si="51"/>
        <v>0.03609441663421997</v>
      </c>
      <c r="S120" s="42">
        <f t="shared" si="51"/>
        <v>0.043645011407172474</v>
      </c>
      <c r="T120" s="42">
        <f t="shared" si="51"/>
        <v>0.0509808436328506</v>
      </c>
      <c r="U120" s="42">
        <f t="shared" si="51"/>
        <v>0.0581114328384158</v>
      </c>
      <c r="V120" s="42">
        <f t="shared" si="51"/>
        <v>0.06504571914300461</v>
      </c>
      <c r="W120" s="42">
        <f t="shared" si="51"/>
        <v>0.07117741589995752</v>
      </c>
      <c r="X120" s="42">
        <f t="shared" si="51"/>
        <v>0.07653755495362957</v>
      </c>
      <c r="Y120" s="42">
        <f t="shared" si="51"/>
        <v>0.08115428145360015</v>
      </c>
      <c r="Z120" s="42">
        <f t="shared" si="51"/>
        <v>0.08505307730341016</v>
      </c>
      <c r="AA120" s="42">
        <f t="shared" si="51"/>
        <v>0.0882569614384553</v>
      </c>
      <c r="AB120" s="42">
        <f t="shared" si="51"/>
        <v>0.09078666945744784</v>
      </c>
      <c r="AC120" s="42">
        <f t="shared" si="51"/>
        <v>0.09266081481856026</v>
      </c>
      <c r="AD120" s="42">
        <f t="shared" si="51"/>
        <v>0.09389603354019826</v>
      </c>
      <c r="AE120" s="42">
        <f t="shared" si="51"/>
        <v>0.09450711411124324</v>
      </c>
      <c r="AF120" s="42">
        <f t="shared" si="51"/>
        <v>0.09450711411124324</v>
      </c>
    </row>
    <row r="122" spans="1:3" ht="12">
      <c r="A122" s="9" t="s">
        <v>88</v>
      </c>
      <c r="C122" t="s">
        <v>18</v>
      </c>
    </row>
    <row r="124" spans="1:7" ht="11.25">
      <c r="A124" s="138" t="s">
        <v>19</v>
      </c>
      <c r="B124" s="138"/>
      <c r="C124" s="138"/>
      <c r="D124" s="138"/>
      <c r="E124" s="138"/>
      <c r="F124" s="138"/>
      <c r="G124" s="138"/>
    </row>
    <row r="125" spans="1:7" ht="11.25">
      <c r="A125" s="138"/>
      <c r="B125" s="138"/>
      <c r="C125" s="138"/>
      <c r="D125" s="138"/>
      <c r="E125" s="138"/>
      <c r="F125" s="138"/>
      <c r="G125" s="138"/>
    </row>
    <row r="127" spans="1:6" ht="11.25">
      <c r="A127" s="14" t="s">
        <v>91</v>
      </c>
      <c r="E127" s="13"/>
      <c r="F127" s="13">
        <v>2020</v>
      </c>
    </row>
    <row r="129" spans="1:6" ht="11.25">
      <c r="A129" t="s">
        <v>103</v>
      </c>
      <c r="F129" s="52">
        <f>V35</f>
        <v>43463.033467934285</v>
      </c>
    </row>
    <row r="130" spans="1:6" ht="11.25">
      <c r="A130" t="s">
        <v>104</v>
      </c>
      <c r="F130" s="52">
        <f>V53</f>
        <v>40635.94919987602</v>
      </c>
    </row>
    <row r="131" spans="1:9" s="14" customFormat="1" ht="9.75">
      <c r="A131" s="14" t="s">
        <v>164</v>
      </c>
      <c r="F131" s="53">
        <f>F130/F129</f>
        <v>0.9349542808569954</v>
      </c>
      <c r="I131" s="81"/>
    </row>
    <row r="133" spans="1:6" ht="11.25">
      <c r="A133" t="s">
        <v>133</v>
      </c>
      <c r="F133" s="24">
        <f>G48</f>
        <v>128.33333333333331</v>
      </c>
    </row>
    <row r="134" spans="1:6" ht="11.25">
      <c r="A134" t="s">
        <v>134</v>
      </c>
      <c r="F134" s="24">
        <f>V48</f>
        <v>123.8967236582243</v>
      </c>
    </row>
    <row r="135" spans="1:9" s="14" customFormat="1" ht="9.75">
      <c r="A135" s="14" t="s">
        <v>164</v>
      </c>
      <c r="F135" s="53">
        <f>F134/F133</f>
        <v>0.965429015518631</v>
      </c>
      <c r="I135" s="81"/>
    </row>
    <row r="136" ht="11.25">
      <c r="F136" s="24"/>
    </row>
    <row r="137" spans="1:6" ht="11.25">
      <c r="A137" s="3" t="s">
        <v>96</v>
      </c>
      <c r="F137" s="24"/>
    </row>
    <row r="138" spans="1:6" ht="11.25">
      <c r="A138" t="s">
        <v>93</v>
      </c>
      <c r="F138" s="24">
        <f>V38</f>
        <v>2529.5945404617833</v>
      </c>
    </row>
    <row r="139" spans="1:6" ht="11.25">
      <c r="A139" t="s">
        <v>95</v>
      </c>
      <c r="F139" s="24">
        <f>V54</f>
        <v>2283.2929562842087</v>
      </c>
    </row>
    <row r="140" spans="1:6" ht="11.25">
      <c r="A140" s="14" t="s">
        <v>164</v>
      </c>
      <c r="B140" s="14"/>
      <c r="C140" s="14"/>
      <c r="D140" s="14"/>
      <c r="E140" s="14"/>
      <c r="F140" s="105">
        <f>F139/F138</f>
        <v>0.9026319909226987</v>
      </c>
    </row>
    <row r="141" ht="11.25">
      <c r="F141" s="24"/>
    </row>
    <row r="142" spans="1:6" ht="11.25">
      <c r="A142" s="14" t="s">
        <v>163</v>
      </c>
      <c r="B142" s="14"/>
      <c r="C142" s="14"/>
      <c r="D142" s="14"/>
      <c r="E142" s="14"/>
      <c r="F142" s="105">
        <f>F135*F131</f>
        <v>0.9026319909226987</v>
      </c>
    </row>
    <row r="143" ht="11.25">
      <c r="F143" s="24"/>
    </row>
    <row r="144" spans="1:6" ht="11.25">
      <c r="A144" t="s">
        <v>97</v>
      </c>
      <c r="F144" s="24"/>
    </row>
    <row r="145" spans="1:6" ht="11.25">
      <c r="A145" t="s">
        <v>98</v>
      </c>
      <c r="F145" s="7">
        <f>(1-F131)/(1-F135)</f>
        <v>1.8815119129181614</v>
      </c>
    </row>
    <row r="147" spans="1:6" ht="12">
      <c r="A147" s="54" t="s">
        <v>99</v>
      </c>
      <c r="B147" s="55"/>
      <c r="C147" s="55"/>
      <c r="D147" s="55"/>
      <c r="E147" s="55"/>
      <c r="F147" s="56">
        <f>F145/(1+F145)</f>
        <v>0.6529599633036808</v>
      </c>
    </row>
    <row r="148" spans="1:6" ht="12">
      <c r="A148" s="57" t="s">
        <v>100</v>
      </c>
      <c r="B148" s="58"/>
      <c r="C148" s="58"/>
      <c r="D148" s="58"/>
      <c r="E148" s="58"/>
      <c r="F148" s="59">
        <f>1-F147</f>
        <v>0.3470400366963192</v>
      </c>
    </row>
  </sheetData>
  <mergeCells count="4">
    <mergeCell ref="A124:G125"/>
    <mergeCell ref="A3:F6"/>
    <mergeCell ref="A64:I65"/>
    <mergeCell ref="L67:V70"/>
  </mergeCells>
  <printOptions gridLines="1"/>
  <pageMargins left="0.75" right="0.5" top="0.65" bottom="0.5"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Z9"/>
  <sheetViews>
    <sheetView workbookViewId="0" topLeftCell="A5">
      <selection activeCell="A9" sqref="A9"/>
    </sheetView>
  </sheetViews>
  <sheetFormatPr defaultColWidth="9.140625" defaultRowHeight="12"/>
  <cols>
    <col min="5" max="5" width="11.28125" style="0" customWidth="1"/>
  </cols>
  <sheetData>
    <row r="1" ht="12.75">
      <c r="A1" s="1" t="s">
        <v>25</v>
      </c>
    </row>
    <row r="3" ht="11.25">
      <c r="A3" t="s">
        <v>203</v>
      </c>
    </row>
    <row r="6" spans="6:26" ht="11.25">
      <c r="F6" s="67">
        <v>2007</v>
      </c>
      <c r="G6" s="67"/>
      <c r="H6" s="67">
        <v>2009</v>
      </c>
      <c r="I6" s="67"/>
      <c r="J6" s="67">
        <v>2011</v>
      </c>
      <c r="K6" s="67"/>
      <c r="L6" s="67">
        <v>2013</v>
      </c>
      <c r="M6" s="67"/>
      <c r="N6" s="67">
        <v>2015</v>
      </c>
      <c r="O6" s="67"/>
      <c r="P6" s="67">
        <v>2017</v>
      </c>
      <c r="Q6" s="67"/>
      <c r="R6" s="67">
        <v>2019</v>
      </c>
      <c r="S6" s="67"/>
      <c r="T6" s="67">
        <v>2021</v>
      </c>
      <c r="U6" s="67"/>
      <c r="V6" s="67">
        <v>2023</v>
      </c>
      <c r="W6" s="67"/>
      <c r="X6" s="67">
        <v>2025</v>
      </c>
      <c r="Y6" s="67"/>
      <c r="Z6" s="67">
        <v>2027</v>
      </c>
    </row>
    <row r="8" spans="1:26" ht="12">
      <c r="A8" s="9" t="s">
        <v>143</v>
      </c>
      <c r="F8" s="67">
        <f>Summary!I73</f>
        <v>5982.046802176086</v>
      </c>
      <c r="G8" s="67">
        <f>Summary!J73</f>
        <v>6125.906967534369</v>
      </c>
      <c r="H8" s="67">
        <f>Summary!K73</f>
        <v>6215.285597944321</v>
      </c>
      <c r="I8" s="67">
        <f>Summary!L73</f>
        <v>6306.059415518274</v>
      </c>
      <c r="J8" s="67">
        <f>Summary!M73</f>
        <v>6398.252281364235</v>
      </c>
      <c r="K8" s="67">
        <f>Summary!N73</f>
        <v>6491.888515486537</v>
      </c>
      <c r="L8" s="67">
        <f>Summary!O73</f>
        <v>6586.992906828484</v>
      </c>
      <c r="M8" s="67">
        <f>Summary!P73</f>
        <v>6683.590723561718</v>
      </c>
      <c r="N8" s="67">
        <f>Summary!Q73</f>
        <v>6781.707723628869</v>
      </c>
      <c r="O8" s="67">
        <f>Summary!R73</f>
        <v>6881.370165546323</v>
      </c>
      <c r="P8" s="67">
        <f>Summary!S73</f>
        <v>6982.604819474042</v>
      </c>
      <c r="Q8" s="67">
        <f>Summary!T73</f>
        <v>7085.438978559625</v>
      </c>
      <c r="R8" s="67">
        <f>Summary!U73</f>
        <v>7189.900470563957</v>
      </c>
      <c r="S8" s="67">
        <f>Summary!V73</f>
        <v>7296.017669776089</v>
      </c>
      <c r="T8" s="67">
        <f>Summary!W73</f>
        <v>7403.819509225043</v>
      </c>
      <c r="U8" s="67">
        <f>Summary!X73</f>
        <v>7513.335493196671</v>
      </c>
      <c r="V8" s="67">
        <f>Summary!Y73</f>
        <v>7624.595710063733</v>
      </c>
      <c r="W8" s="67">
        <f>Summary!Z73</f>
        <v>7737.630845437696</v>
      </c>
      <c r="X8" s="67">
        <f>Summary!AA73</f>
        <v>7852.472195650975</v>
      </c>
      <c r="Y8" s="67">
        <f>Summary!AB73</f>
        <v>7969.151681578592</v>
      </c>
      <c r="Z8" s="67">
        <f>Summary!AC73</f>
        <v>8087.701862808448</v>
      </c>
    </row>
    <row r="9" spans="1:26" ht="12">
      <c r="A9" s="9" t="s">
        <v>238</v>
      </c>
      <c r="F9" s="67">
        <f>F8</f>
        <v>5982.046802176086</v>
      </c>
      <c r="G9" s="67">
        <f>Summary!J79</f>
        <v>6088.5867295715525</v>
      </c>
      <c r="H9" s="67">
        <f>Summary!K79</f>
        <v>6131.94609013173</v>
      </c>
      <c r="I9" s="67">
        <f>Summary!L79</f>
        <v>6168.07986667045</v>
      </c>
      <c r="J9" s="67">
        <f>Summary!M79</f>
        <v>6197.108959159563</v>
      </c>
      <c r="K9" s="67">
        <f>Summary!N79</f>
        <v>6219.172023491879</v>
      </c>
      <c r="L9" s="67">
        <f>Summary!O79</f>
        <v>6234.4239842033185</v>
      </c>
      <c r="M9" s="67">
        <f>Summary!P79</f>
        <v>6243.034544466287</v>
      </c>
      <c r="N9" s="67">
        <f>Summary!Q79</f>
        <v>6245.186704974899</v>
      </c>
      <c r="O9" s="67">
        <f>Summary!R79</f>
        <v>6241.075301932306</v>
      </c>
      <c r="P9" s="67">
        <f>Summary!S79</f>
        <v>6230.90557307893</v>
      </c>
      <c r="Q9" s="67">
        <f>Summary!T79</f>
        <v>6223.149727864564</v>
      </c>
      <c r="R9" s="67">
        <f>Summary!U79</f>
        <v>6217.665522738107</v>
      </c>
      <c r="S9" s="67">
        <f>Summary!V79</f>
        <v>6214.326200676574</v>
      </c>
      <c r="T9" s="67">
        <f>Summary!W79</f>
        <v>6218.543529671651</v>
      </c>
      <c r="U9" s="67">
        <f>Summary!X79</f>
        <v>6230.0856601416135</v>
      </c>
      <c r="V9" s="67">
        <f>Summary!Y79</f>
        <v>6248.763088633965</v>
      </c>
      <c r="W9" s="67">
        <f>Summary!Z79</f>
        <v>6274.424661634219</v>
      </c>
      <c r="X9" s="67">
        <f>Summary!AA79</f>
        <v>6306.954259375163</v>
      </c>
      <c r="Y9" s="67">
        <f>Summary!AB79</f>
        <v>6346.268049389803</v>
      </c>
      <c r="Z9" s="67">
        <f>Summary!AC79</f>
        <v>6392.312222287686</v>
      </c>
    </row>
  </sheetData>
  <printOptions/>
  <pageMargins left="1" right="1"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J29"/>
  <sheetViews>
    <sheetView workbookViewId="0" topLeftCell="A1">
      <selection activeCell="G20" sqref="G20"/>
    </sheetView>
  </sheetViews>
  <sheetFormatPr defaultColWidth="9.140625" defaultRowHeight="12"/>
  <sheetData>
    <row r="1" ht="12.75">
      <c r="A1" s="1" t="s">
        <v>202</v>
      </c>
    </row>
    <row r="3" ht="12">
      <c r="A3" t="s">
        <v>11</v>
      </c>
    </row>
    <row r="5" ht="11.25">
      <c r="A5" t="s">
        <v>14</v>
      </c>
    </row>
    <row r="7" ht="11.25">
      <c r="J7" s="11"/>
    </row>
    <row r="8" spans="1:8" ht="12">
      <c r="A8" s="9" t="s">
        <v>33</v>
      </c>
      <c r="G8" s="10">
        <v>2375</v>
      </c>
      <c r="H8" s="12">
        <f>G8/G$20</f>
        <v>0.39526678427587125</v>
      </c>
    </row>
    <row r="9" spans="1:8" ht="11.25">
      <c r="A9" t="s">
        <v>34</v>
      </c>
      <c r="G9" s="151" t="s">
        <v>201</v>
      </c>
      <c r="H9" s="151"/>
    </row>
    <row r="10" spans="1:8" ht="11.25">
      <c r="A10" t="s">
        <v>35</v>
      </c>
      <c r="G10" s="151" t="s">
        <v>201</v>
      </c>
      <c r="H10" s="151"/>
    </row>
    <row r="11" spans="1:8" ht="11.25">
      <c r="A11" t="s">
        <v>36</v>
      </c>
      <c r="G11" s="151" t="s">
        <v>201</v>
      </c>
      <c r="H11" s="151"/>
    </row>
    <row r="12" spans="1:8" ht="11.25">
      <c r="A12" t="s">
        <v>37</v>
      </c>
      <c r="G12" s="151" t="s">
        <v>201</v>
      </c>
      <c r="H12" s="151"/>
    </row>
    <row r="14" spans="1:8" ht="12">
      <c r="A14" s="9" t="s">
        <v>176</v>
      </c>
      <c r="G14" s="10">
        <v>1374.5</v>
      </c>
      <c r="H14" s="154">
        <f>G14/G$20</f>
        <v>0.22875545052092</v>
      </c>
    </row>
    <row r="15" spans="1:8" ht="12">
      <c r="A15" s="9"/>
      <c r="G15" s="10"/>
      <c r="H15" s="12"/>
    </row>
    <row r="16" spans="1:8" ht="12">
      <c r="A16" s="9" t="s">
        <v>231</v>
      </c>
      <c r="G16" s="10">
        <v>235.8</v>
      </c>
      <c r="H16" s="12">
        <f>G16/G$20</f>
        <v>0.03924375062410545</v>
      </c>
    </row>
    <row r="17" spans="1:8" ht="12">
      <c r="A17" s="9"/>
      <c r="G17" s="10"/>
      <c r="H17" s="12"/>
    </row>
    <row r="18" spans="1:8" ht="12">
      <c r="A18" s="9" t="s">
        <v>177</v>
      </c>
      <c r="G18" s="10">
        <v>2023.3</v>
      </c>
      <c r="H18" s="12">
        <f>G18/G$20</f>
        <v>0.33673401457910324</v>
      </c>
    </row>
    <row r="20" spans="1:7" ht="12">
      <c r="A20" s="9" t="s">
        <v>38</v>
      </c>
      <c r="G20" s="10">
        <f>G8+G14+G16+G18</f>
        <v>6008.6</v>
      </c>
    </row>
    <row r="23" ht="12">
      <c r="A23" s="9" t="s">
        <v>252</v>
      </c>
    </row>
    <row r="25" spans="1:10" ht="12">
      <c r="A25" s="3" t="s">
        <v>253</v>
      </c>
      <c r="G25">
        <v>6.189</v>
      </c>
      <c r="I25" s="157"/>
      <c r="J25" s="9"/>
    </row>
    <row r="26" spans="1:7" ht="12">
      <c r="A26" s="3" t="s">
        <v>254</v>
      </c>
      <c r="G26" s="35"/>
    </row>
    <row r="28" spans="1:7" ht="11.25">
      <c r="A28" s="3" t="s">
        <v>255</v>
      </c>
      <c r="G28">
        <v>5.354</v>
      </c>
    </row>
    <row r="29" ht="11.25">
      <c r="A29" s="3" t="s">
        <v>256</v>
      </c>
    </row>
  </sheetData>
  <mergeCells count="4">
    <mergeCell ref="G9:H9"/>
    <mergeCell ref="G10:H10"/>
    <mergeCell ref="G11:H11"/>
    <mergeCell ref="G12:H12"/>
  </mergeCells>
  <hyperlinks>
    <hyperlink ref="A26" r:id="rId1" display="http://www.eia.doe.gov/emeu/mer/append_a.html, Table A3."/>
  </hyperlinks>
  <printOptions gridLines="1"/>
  <pageMargins left="1.25" right="1" top="1.25" bottom="1" header="0.5" footer="0.5"/>
  <pageSetup horizontalDpi="600" verticalDpi="600" orientation="portrait" r:id="rId2"/>
</worksheet>
</file>

<file path=xl/worksheets/sheet8.xml><?xml version="1.0" encoding="utf-8"?>
<worksheet xmlns="http://schemas.openxmlformats.org/spreadsheetml/2006/main" xmlns:r="http://schemas.openxmlformats.org/officeDocument/2006/relationships">
  <dimension ref="A1:I32"/>
  <sheetViews>
    <sheetView workbookViewId="0" topLeftCell="A1">
      <selection activeCell="A26" sqref="A26"/>
    </sheetView>
  </sheetViews>
  <sheetFormatPr defaultColWidth="9.140625" defaultRowHeight="12"/>
  <sheetData>
    <row r="1" ht="12.75">
      <c r="A1" s="1" t="s">
        <v>290</v>
      </c>
    </row>
    <row r="3" spans="1:9" ht="11.25">
      <c r="A3" s="138" t="s">
        <v>0</v>
      </c>
      <c r="B3" s="138"/>
      <c r="C3" s="138"/>
      <c r="D3" s="138"/>
      <c r="E3" s="138"/>
      <c r="F3" s="138"/>
      <c r="G3" s="138"/>
      <c r="H3" s="138"/>
      <c r="I3" s="138"/>
    </row>
    <row r="4" spans="1:9" ht="11.25">
      <c r="A4" s="138"/>
      <c r="B4" s="138"/>
      <c r="C4" s="138"/>
      <c r="D4" s="138"/>
      <c r="E4" s="138"/>
      <c r="F4" s="138"/>
      <c r="G4" s="138"/>
      <c r="H4" s="138"/>
      <c r="I4" s="138"/>
    </row>
    <row r="5" spans="1:9" ht="11.25">
      <c r="A5" s="138"/>
      <c r="B5" s="138"/>
      <c r="C5" s="138"/>
      <c r="D5" s="138"/>
      <c r="E5" s="138"/>
      <c r="F5" s="138"/>
      <c r="G5" s="138"/>
      <c r="H5" s="138"/>
      <c r="I5" s="138"/>
    </row>
    <row r="7" spans="1:9" ht="7.5" customHeight="1">
      <c r="A7" s="138" t="s">
        <v>1</v>
      </c>
      <c r="B7" s="138"/>
      <c r="C7" s="138"/>
      <c r="D7" s="138"/>
      <c r="E7" s="138"/>
      <c r="F7" s="138"/>
      <c r="G7" s="138"/>
      <c r="H7" s="138"/>
      <c r="I7" s="138"/>
    </row>
    <row r="8" spans="1:9" ht="7.5" customHeight="1">
      <c r="A8" s="138"/>
      <c r="B8" s="138"/>
      <c r="C8" s="138"/>
      <c r="D8" s="138"/>
      <c r="E8" s="138"/>
      <c r="F8" s="138"/>
      <c r="G8" s="138"/>
      <c r="H8" s="138"/>
      <c r="I8" s="138"/>
    </row>
    <row r="9" spans="1:9" ht="7.5" customHeight="1">
      <c r="A9" s="138"/>
      <c r="B9" s="138"/>
      <c r="C9" s="138"/>
      <c r="D9" s="138"/>
      <c r="E9" s="138"/>
      <c r="F9" s="138"/>
      <c r="G9" s="138"/>
      <c r="H9" s="138"/>
      <c r="I9" s="138"/>
    </row>
    <row r="12" ht="12">
      <c r="A12" s="9" t="s">
        <v>218</v>
      </c>
    </row>
    <row r="13" spans="1:8" ht="11.25">
      <c r="A13" s="45" t="s">
        <v>210</v>
      </c>
      <c r="E13" s="34" t="s">
        <v>211</v>
      </c>
      <c r="H13" s="135">
        <v>7.855</v>
      </c>
    </row>
    <row r="14" spans="1:8" ht="11.25">
      <c r="A14" s="45" t="s">
        <v>217</v>
      </c>
      <c r="E14" s="34" t="s">
        <v>211</v>
      </c>
      <c r="H14" s="135">
        <f>0.162*5/4</f>
        <v>0.2025</v>
      </c>
    </row>
    <row r="15" spans="1:8" ht="11.25">
      <c r="A15" s="45" t="s">
        <v>212</v>
      </c>
      <c r="E15" s="34" t="s">
        <v>213</v>
      </c>
      <c r="H15" s="135">
        <v>2.46</v>
      </c>
    </row>
    <row r="16" spans="1:8" ht="11.25">
      <c r="A16" s="45" t="s">
        <v>214</v>
      </c>
      <c r="E16" s="34" t="s">
        <v>215</v>
      </c>
      <c r="H16" s="135">
        <v>1.287</v>
      </c>
    </row>
    <row r="17" spans="1:8" ht="11.25">
      <c r="A17" s="45" t="s">
        <v>216</v>
      </c>
      <c r="E17" s="34" t="s">
        <v>215</v>
      </c>
      <c r="H17" s="135">
        <v>0.212</v>
      </c>
    </row>
    <row r="19" ht="11.25">
      <c r="A19" s="3" t="s">
        <v>232</v>
      </c>
    </row>
    <row r="21" ht="11.25">
      <c r="A21" s="3" t="s">
        <v>219</v>
      </c>
    </row>
    <row r="22" spans="1:9" ht="13.5" customHeight="1">
      <c r="A22" s="137" t="s">
        <v>220</v>
      </c>
      <c r="B22" s="138"/>
      <c r="C22" s="138"/>
      <c r="D22" s="138"/>
      <c r="E22" s="138"/>
      <c r="F22" s="138"/>
      <c r="G22" s="138"/>
      <c r="H22" s="138"/>
      <c r="I22" s="138"/>
    </row>
    <row r="23" spans="1:9" ht="13.5" customHeight="1">
      <c r="A23" s="138"/>
      <c r="B23" s="138"/>
      <c r="C23" s="138"/>
      <c r="D23" s="138"/>
      <c r="E23" s="138"/>
      <c r="F23" s="138"/>
      <c r="G23" s="138"/>
      <c r="H23" s="138"/>
      <c r="I23" s="138"/>
    </row>
    <row r="24" spans="1:9" ht="13.5" customHeight="1">
      <c r="A24" s="138"/>
      <c r="B24" s="138"/>
      <c r="C24" s="138"/>
      <c r="D24" s="138"/>
      <c r="E24" s="138"/>
      <c r="F24" s="138"/>
      <c r="G24" s="138"/>
      <c r="H24" s="138"/>
      <c r="I24" s="138"/>
    </row>
    <row r="25" ht="11.25">
      <c r="A25" s="3" t="s">
        <v>221</v>
      </c>
    </row>
    <row r="27" ht="12">
      <c r="A27" s="9" t="s">
        <v>222</v>
      </c>
    </row>
    <row r="28" spans="1:8" ht="11.25">
      <c r="A28" t="s">
        <v>40</v>
      </c>
      <c r="H28" s="8">
        <f>H13+H14</f>
        <v>8.057500000000001</v>
      </c>
    </row>
    <row r="29" spans="1:8" ht="11.25">
      <c r="A29" t="s">
        <v>223</v>
      </c>
      <c r="H29" s="8">
        <f>H15+H16+H17</f>
        <v>3.959</v>
      </c>
    </row>
    <row r="30" spans="1:8" s="9" customFormat="1" ht="12">
      <c r="A30" s="9" t="s">
        <v>224</v>
      </c>
      <c r="H30" s="12">
        <f>H29/$H$28</f>
        <v>0.4913434688178715</v>
      </c>
    </row>
    <row r="31" spans="1:8" s="9" customFormat="1" ht="12">
      <c r="A31" t="s">
        <v>233</v>
      </c>
      <c r="H31" s="8">
        <f>H16+H17</f>
        <v>1.4989999999999999</v>
      </c>
    </row>
    <row r="32" spans="1:8" s="9" customFormat="1" ht="12">
      <c r="A32" s="9" t="s">
        <v>234</v>
      </c>
      <c r="H32" s="12">
        <f>H31/$H$28</f>
        <v>0.18603785293205086</v>
      </c>
    </row>
  </sheetData>
  <mergeCells count="3">
    <mergeCell ref="A3:I5"/>
    <mergeCell ref="A7:I9"/>
    <mergeCell ref="A22:I24"/>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Komanoff</dc:creator>
  <cp:keywords/>
  <dc:description/>
  <cp:lastModifiedBy>Charles Komanoff</cp:lastModifiedBy>
  <cp:lastPrinted>2007-08-03T18:04:24Z</cp:lastPrinted>
  <dcterms:created xsi:type="dcterms:W3CDTF">2007-03-27T19:18:08Z</dcterms:created>
  <dcterms:modified xsi:type="dcterms:W3CDTF">2007-09-26T00:56:23Z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