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05" windowHeight="8790" activeTab="0"/>
  </bookViews>
  <sheets>
    <sheet name="Main" sheetId="1" r:id="rId1"/>
    <sheet name="Efficiency" sheetId="2" r:id="rId2"/>
    <sheet name="Renew" sheetId="3" r:id="rId3"/>
    <sheet name="Efftech" sheetId="4" r:id="rId4"/>
    <sheet name="Renewtech" sheetId="5" r:id="rId5"/>
    <sheet name="costs" sheetId="6" r:id="rId6"/>
    <sheet name="Scenarios" sheetId="7" r:id="rId7"/>
    <sheet name="Residential Assumptions" sheetId="8" r:id="rId8"/>
    <sheet name="Commercial Assumptions" sheetId="9" r:id="rId9"/>
    <sheet name="Transport Assumptions" sheetId="10" r:id="rId10"/>
    <sheet name="Industry Assumptions" sheetId="11" r:id="rId11"/>
    <sheet name="Renewable Assumptions" sheetId="12" r:id="rId12"/>
    <sheet name="CyberTran" sheetId="13" r:id="rId13"/>
    <sheet name="SGrid" sheetId="14" r:id="rId14"/>
    <sheet name="Rgrid" sheetId="15" r:id="rId15"/>
    <sheet name="Transport Safety" sheetId="16" r:id="rId16"/>
    <sheet name="PayBacks" sheetId="17" r:id="rId17"/>
    <sheet name="Totals" sheetId="18" r:id="rId18"/>
  </sheets>
  <definedNames>
    <definedName name="_edn10" localSheetId="7">'Residential Assumptions'!$A$84</definedName>
    <definedName name="_edn11" localSheetId="7">'Residential Assumptions'!$A$86</definedName>
    <definedName name="_edn12" localSheetId="7">'Residential Assumptions'!$A$92</definedName>
    <definedName name="_edn13" localSheetId="7">'Residential Assumptions'!$A$98</definedName>
    <definedName name="_edn14" localSheetId="7">'Residential Assumptions'!$A$101</definedName>
    <definedName name="_edn15" localSheetId="7">'Residential Assumptions'!$A$109</definedName>
    <definedName name="_edn16" localSheetId="7">'Residential Assumptions'!$A$114</definedName>
    <definedName name="_edn17" localSheetId="7">'Residential Assumptions'!$A$120</definedName>
    <definedName name="_edn18" localSheetId="7">'Residential Assumptions'!$A$122</definedName>
    <definedName name="_edn19" localSheetId="7">'Residential Assumptions'!$A$124</definedName>
    <definedName name="_edn2" localSheetId="7">'Residential Assumptions'!$A$36</definedName>
    <definedName name="_edn20" localSheetId="7">'Residential Assumptions'!$A$128</definedName>
    <definedName name="_edn21" localSheetId="7">'Residential Assumptions'!$A$132</definedName>
    <definedName name="_edn22" localSheetId="7">'Residential Assumptions'!$A$134</definedName>
    <definedName name="_edn23" localSheetId="7">'Residential Assumptions'!$A$136</definedName>
    <definedName name="_edn24" localSheetId="7">'Residential Assumptions'!$A$138</definedName>
    <definedName name="_edn25" localSheetId="7">'Residential Assumptions'!$A$140</definedName>
    <definedName name="_edn26" localSheetId="7">'Residential Assumptions'!$A$142</definedName>
    <definedName name="_edn27" localSheetId="7">'Residential Assumptions'!$A$144</definedName>
    <definedName name="_edn28" localSheetId="7">'Residential Assumptions'!$A$155</definedName>
    <definedName name="_edn3" localSheetId="7">'Residential Assumptions'!$A$48</definedName>
    <definedName name="_edn4" localSheetId="7">'Residential Assumptions'!$A$49</definedName>
    <definedName name="_edn5" localSheetId="7">'Residential Assumptions'!$A$54</definedName>
    <definedName name="_edn6" localSheetId="7">'Residential Assumptions'!$A$58</definedName>
    <definedName name="_edn7" localSheetId="7">'Residential Assumptions'!$A$67</definedName>
    <definedName name="_edn8" localSheetId="8">'Commercial Assumptions'!$A$46</definedName>
    <definedName name="_edn9" localSheetId="7">'Residential Assumptions'!$A$77</definedName>
    <definedName name="_ednref10" localSheetId="8">'Commercial Assumptions'!$A$12</definedName>
    <definedName name="_ednref11" localSheetId="8">'Commercial Assumptions'!$A$13</definedName>
    <definedName name="_ednref12" localSheetId="8">'Commercial Assumptions'!$A$14</definedName>
    <definedName name="_ednref13" localSheetId="8">'Commercial Assumptions'!$A$15</definedName>
    <definedName name="_ednref16" localSheetId="10">'Industry Assumptions'!$A$17</definedName>
    <definedName name="_ednref17" localSheetId="8">'Commercial Assumptions'!$A$18</definedName>
    <definedName name="_ednref18" localSheetId="10">'Industry Assumptions'!$D$19</definedName>
    <definedName name="_ednref19" localSheetId="10">'Industry Assumptions'!$A$21</definedName>
    <definedName name="_ednref2" localSheetId="10">'Industry Assumptions'!$A$9</definedName>
    <definedName name="_ednref20" localSheetId="10">'Industry Assumptions'!$A$23</definedName>
    <definedName name="_ednref21" localSheetId="10">'Industry Assumptions'!$A$24</definedName>
    <definedName name="_ednref22" localSheetId="10">'Industry Assumptions'!$A$26</definedName>
    <definedName name="_ednref23" localSheetId="10">'Industry Assumptions'!$A$28</definedName>
    <definedName name="_ednref24" localSheetId="10">'Industry Assumptions'!$A$29</definedName>
    <definedName name="_ednref25" localSheetId="10">'Industry Assumptions'!$A$30</definedName>
    <definedName name="_ednref3" localSheetId="10">'Industry Assumptions'!$D$9</definedName>
    <definedName name="_ednref4" localSheetId="10">'Industry Assumptions'!$A$10</definedName>
    <definedName name="_ednref5" localSheetId="10">'Industry Assumptions'!$D$10</definedName>
    <definedName name="_ednref6" localSheetId="10">'Industry Assumptions'!$A$11</definedName>
    <definedName name="_ednref7" localSheetId="10">'Industry Assumptions'!$A$12</definedName>
    <definedName name="_ednref8" localSheetId="8">'Commercial Assumptions'!$A$10</definedName>
    <definedName name="_ednref9" localSheetId="8">'Commercial Assumptions'!$A$11</definedName>
    <definedName name="_ftn1" localSheetId="10">'Industry Assumptions'!$A$35</definedName>
    <definedName name="_ftn2" localSheetId="10">'Industry Assumptions'!$A$36</definedName>
    <definedName name="_ftnref1" localSheetId="10">'Industry Assumptions'!$B$7</definedName>
    <definedName name="_Toc188699757" localSheetId="8">'Commercial Assumptions'!$A$28</definedName>
    <definedName name="aghigh">'costs'!$C$8</definedName>
    <definedName name="aglow">'costs'!$C$10</definedName>
    <definedName name="agMod">'costs'!$C$9</definedName>
    <definedName name="amazon_nails" localSheetId="10">'Industry Assumptions'!$D$10</definedName>
    <definedName name="Anglia" localSheetId="8">'Commercial Assumptions'!$A$10</definedName>
    <definedName name="buildingtablefootnote" localSheetId="10">'Industry Assumptions'!$B$7</definedName>
    <definedName name="coolcompanies" localSheetId="8">'Commercial Assumptions'!$A$14</definedName>
    <definedName name="factorfour" localSheetId="10">'Industry Assumptions'!$A$8</definedName>
    <definedName name="interface" localSheetId="10">'Industry Assumptions'!$A$23</definedName>
    <definedName name="mit" localSheetId="10">'Industry Assumptions'!$A$24</definedName>
    <definedName name="modhigh">'costs'!$C$31</definedName>
    <definedName name="ModLow">'costs'!$C$33</definedName>
    <definedName name="ModMod">'costs'!$C$32</definedName>
    <definedName name="Skip_to_content" localSheetId="15">'Transport Safety'!$C$26</definedName>
    <definedName name="straawboard" localSheetId="10">'Industry Assumptions'!$A$11</definedName>
    <definedName name="windows" localSheetId="8">'Commercial Assumptions'!$A$11</definedName>
  </definedNames>
  <calcPr fullCalcOnLoad="1"/>
</workbook>
</file>

<file path=xl/sharedStrings.xml><?xml version="1.0" encoding="utf-8"?>
<sst xmlns="http://schemas.openxmlformats.org/spreadsheetml/2006/main" count="1156" uniqueCount="794">
  <si>
    <t>Replace all incandescent or halogen lights with CFL (except where they won't fit, or where lack of ventilation makes them dangerous or where exposure to excess humidity and extreme temperatures shorten their lifespan). Replace refrigerators over ten years old with high efficiency models: any incentive program must include a requirement to dispose of old refrigerator.</t>
  </si>
  <si>
    <t>Computers and electronic appliances generally consume more energy during manufacture than they do in their lifetime. The object therefore  for electronics and small appliances is to provide incentives to make sure they are in use as long as possible before disposal, and that when they are replaced that the replacements are  high efficiency in both manufacture and operation.</t>
  </si>
  <si>
    <t>All of the above applies to both moderate and aggressive efficiency programs. In aggressive versions I would add:</t>
  </si>
  <si>
    <r>
      <t>1)</t>
    </r>
    <r>
      <rPr>
        <sz val="7"/>
        <rFont val="Times New Roman"/>
        <family val="1"/>
      </rPr>
      <t xml:space="preserve">      </t>
    </r>
    <r>
      <rPr>
        <sz val="12"/>
        <rFont val="Times New Roman"/>
        <family val="1"/>
      </rPr>
      <t xml:space="preserve">Ground source heat pumps where practical. One trick used in some Scandinavian countries might both lower the cost of ground source heat pumps, and increase the potential for using them in all homes without exhausting stored ground heat: take advantage for road resurfacing to bury shared grounds source systems under roads as well as under the land dedicated to the buildings themselves. That would lower the costs of burying the pipes deeper, and also improve the ratio of land available for the systems to building square footage to be conditioned. </t>
    </r>
  </si>
  <si>
    <r>
      <t>2)</t>
    </r>
    <r>
      <rPr>
        <sz val="7"/>
        <rFont val="Times New Roman"/>
        <family val="1"/>
      </rPr>
      <t xml:space="preserve">      </t>
    </r>
    <r>
      <rPr>
        <sz val="12"/>
        <rFont val="Times New Roman"/>
        <family val="1"/>
      </rPr>
      <t xml:space="preserve">Modern air source heat pumps: although in temperatures above zero they can match ground source heat pumps for efficiency, as temperatures approach zero they turn into resistance heaters, and usually have simple resistance elements built in for just that reason. So overall, air source heat pumps will produce an average of 2 to 2.5 units of heat for every unit input - 3 or 4 units when temperatures are above zero, and .95 when temperatures are below zero. </t>
    </r>
  </si>
  <si>
    <r>
      <t>3)</t>
    </r>
    <r>
      <rPr>
        <sz val="7"/>
        <rFont val="Times New Roman"/>
        <family val="1"/>
      </rPr>
      <t xml:space="preserve">      </t>
    </r>
    <r>
      <rPr>
        <sz val="12"/>
        <rFont val="Times New Roman"/>
        <family val="1"/>
      </rPr>
      <t>In sunny cold climates solar space heaters combined with reasonably efficiency air conditioners for hot weather may be practical. (In some climates you can omit the air conditioner.) To the extent that ground neither ground source heat pumps nor solar were practical, air source heat pumps in have now been improved to the point where they are reasonably   efficient, though this lowers overall efficiency since they turn into resistance heaters once temperatures hit zero.</t>
    </r>
  </si>
  <si>
    <r>
      <t>4)</t>
    </r>
    <r>
      <rPr>
        <sz val="7"/>
        <rFont val="Times New Roman"/>
        <family val="1"/>
      </rPr>
      <t xml:space="preserve">      </t>
    </r>
    <r>
      <rPr>
        <sz val="12"/>
        <rFont val="Times New Roman"/>
        <family val="1"/>
      </rPr>
      <t>Even in cloudy cold Seattle solar hot water heaters may be practical much of the time. There is some sun in every month, and since you need hot water summer and winter you can amortize your capital investment as fully as available sunlight allows.</t>
    </r>
  </si>
  <si>
    <t>Assuming we use 5 quads of fossil fuels (almost all natural gas) + 3 quads of truly sustainable biofuels</t>
  </si>
  <si>
    <t>http://www.theoildrum.com/node/4301</t>
  </si>
  <si>
    <t>Oil alone accounts for almost 61% of tons shipped internationally in 1998, though less of ton miles With coal shipments, the total ton miles will be at least comparable to U.S. water shipping. In addition, as oil prices rise, and as a carbon price is instituted, we will see fewer of other low value commodities shipped as far as well. To some extent more will be made domestically in every nation, less imported. Where that can't be done, or is too costly, imports will tend to be from nearer markets. Shipping costs will make nearer suppliers cheaper than distant ones, even when there are significant diffferences in manufacturing costs.</t>
  </si>
  <si>
    <t>Water Transport</t>
  </si>
  <si>
    <t>Freight Rail</t>
  </si>
  <si>
    <t>In new ships - better hulls, propellors and engines can double fuel efficiency. Also running engines on natural gas can reduce greenhouse emission.  Retrofitting existing ships or prematurely retiring them would require a combination of continuing high oil or carbon prices, and no drop in demand for shipping.</t>
  </si>
  <si>
    <t>Conventional light rail</t>
  </si>
  <si>
    <t>http://www.lightrailnow.org/myths.htm</t>
  </si>
  <si>
    <t>ttp://www.lightrailnow.org/facts.htm</t>
  </si>
  <si>
    <t>ttp://www.lightrailnow.org/features.htm</t>
  </si>
  <si>
    <t>http://www.CyberTran.com</t>
  </si>
  <si>
    <t>A couple of studies on more modest improvements: these serve as sanity checks; their cost estimates for smaller changes support Drake's estimates for bigger ones.</t>
  </si>
  <si>
    <t>http://www.antiochpress.com/article.cfm?articleID=2079</t>
  </si>
  <si>
    <t>A greener alternative to eBART by Madan Sheina - 3/15/2007</t>
  </si>
  <si>
    <t>The Antioch Press</t>
  </si>
  <si>
    <t>One of the reasons transit has trouble competing with cars is that is gets you there more slowly, and it does a poor job of delivering many of its supposed compensating advantages.</t>
  </si>
  <si>
    <t>This is why I really want automated ultralight rail to work. Not only is it cheaper than many other light rail options, if it works it delivers the full benefits mass transit has always promise.  Here is how in it works:</t>
  </si>
  <si>
    <t>Although I include zero technical improvement scenarios, I also consider highly probable and somewhat probable breakthroughs.</t>
  </si>
  <si>
    <t xml:space="preserve">Obvious breakthroughs are more deployment of offshore wind with higher capacity, and also systems with multiple turbines per tower. This lowers capacity utilization, because the turbines provide wind shadow to one another, so a lower percent of the wind hitting all turbines combined is utilized. However, this reduction is only a few percent, whereas capital costs per kW can be reduced 40%. Also this is most useful in offshore applications, where capacity utilization is higher than on land anyway.  </t>
  </si>
  <si>
    <t>A more extreme possibility are flying energy generators - which actually fly turbines thousands of feet up on using what amounts to more stable less mobile helicopters or balloons.  This would let wind utilize its generating capacity at rates comparable to coal (60% or 70%) or even at 90% (in very limited geographical locations).  This could lower wind cost to 2 cents per kWh or less, and greatly reduce the need for storage as well.</t>
  </si>
  <si>
    <t>In solar there are more much greater potential for reductions. The most obvious is storage, where so far every expert who has looked at it thinks we can reduce storage costs from the current $40 per kWh thermal equivalent to $10-$15 per kWh thermal equivalent. In terms of concentrating mirrors, our own Sunflower's point about small concentrating mirrors being cheaper than larger ones, because of not requiring steel frames has now been validated by MIT. On another path, it has been demonstrated that you can get 95% of the concentration the best parabolic mirrors provided by using computer controlled thin straight mirrors - aluminum mirrors on wooden frames. There is also CoolEarth who is working inflatable parabolic mirrors - which could supply solar with capital costs cheaper than natural gas (and no fuel).  There are even more potential breakthroughs in photovoltaic solar cells, but no comparable potential in electricity storage (except in the remote case that EESTOR proves more than vaporware). (We simply are not likely to see the electricity storage in the $10-$15 per kWh in the near future - though we could see a drop to $200 or $300 for 10,000+  cycle batteries, which would be a major breakthrough for electric cars.</t>
  </si>
  <si>
    <t>Note that a single wind plant or a single solar plant is a fuel saver rather than a provider of base or load following power. (A single solar power plant can be a peak power provider, because hot climates where solar resources are greatest consume peak power, logically enough, when the sun is hottest and brightest. This even applies in some colder climates that have high air conditioning loads during summer. In New York City for example, enough PV could cut peak demand, because in spite of coldness of NY winters, summer air conditioning drives New York's peak demand. ) But a grid that mixes multiple wind farms in multiple major climate zones with solar electricity from can apply between 33% and 40% percent of the electricity it produces to base needs - even without storage, just because the wind will pick up one place when it dies somewhere else most of the time. (Such a grid requires a lot of HVDC and other grid improvements; based on estimates from the electric industry I'm assuming about 300 billion worth.)</t>
  </si>
  <si>
    <t>Nationwide, times without much wind everywhere will mostly tend to be short. Three hours of storage compared to a wind based grid's nameplate capacity will let wind power meet 95% or more of needs (This is really nine to ten hours of average production.) A solar powered grid needs 16-24 hours storage to meet the same goal. But mixed wind and solar grid, with about 30% redundancy and an approximately 2 to 1 ratio of wind to solar can provide a 99% or better renewable grid with the remaining 1% based on natural gas. Though I assume that 99% of energy is provided by natural gas, I factor in very high capacity - equal to about half of solar and wind capacity, for rare short occasions when combined sun fall below needs long enough to exhaust shortage - rather than trying to provide 100% solar.</t>
  </si>
  <si>
    <t>Summary tables for very aggressive and moderately aggressive efficiency scenarios</t>
  </si>
  <si>
    <t>Paybacks</t>
  </si>
  <si>
    <t>=============================================================================================================================================================</t>
  </si>
  <si>
    <t>2 hours storage (compared to nameplate) ($250 per kwh storage costs)</t>
  </si>
  <si>
    <t>To compensate fo 20% loss of half of power due to storage losses</t>
  </si>
  <si>
    <t xml:space="preserve">Also some of the flow batteries most suitable for utility storage tend to return only 70% of the electricity that is input to them. There is a real chance in the near future we will see $250 per kWh flow batteries with 10,000 cycle life spans that can return 80% or </t>
  </si>
  <si>
    <t>Lastly there is the question of paybacks. The first payback is the most obvious - energy. Since I assume 2008 projected EIA energy costs, this part is obviously somewhat of an underestimate even for 2008, and a large underestimate for the future. Some of my other paybacks are going to raise more eyebrows though I think they are actually quite solid.</t>
  </si>
  <si>
    <t>The biggest single payback for phasing out fossil fuels is increased productivity. That is a surprising conclusion, one we had better take a bit at a time.</t>
  </si>
  <si>
    <t xml:space="preserve"> The average value of productivity increases in green buildings is slightly over 10% for combined lighting, ventilation and thermal control.</t>
  </si>
  <si>
    <r>
      <t xml:space="preserve">Kats, Greg,State of California, Sustainable Building Task Force, October 3, 2003, </t>
    </r>
    <r>
      <rPr>
        <i/>
        <sz val="10"/>
        <rFont val="Times New Roman"/>
        <family val="1"/>
      </rPr>
      <t>The Costs and Financial Benefits of Green Buildings</t>
    </r>
    <r>
      <rPr>
        <sz val="10"/>
        <rFont val="Times New Roman"/>
        <family val="1"/>
      </rPr>
      <t>, 61.  http://www.usgbc.org/Docs/News/News477.pdf, 12/17/2008.</t>
    </r>
  </si>
  <si>
    <t>Finance, insurance, real estate, rental, and leasing, professional and business services, private educational services, private health care, private social assistance, and government combined represent about 53% of total GDP value added. The majority of these services are provided in commercial office buildings. It is true that a large minority are provided in other setting. But a large percent of the cost in manufacturing, mining, construction, transportation and so forth consists of administrative and support services. In general it is a fair estimate that half of GDP either is produced by office work, or is produced by other types of work done inside offices.</t>
  </si>
  <si>
    <t>So greening buildings alone increases productivity by around 5.3%.</t>
  </si>
  <si>
    <r>
      <t xml:space="preserve">Current Industry Analysis Division, Bureau of Economic Analysis (BEA), U.S. Department of Commerce, </t>
    </r>
    <r>
      <rPr>
        <i/>
        <sz val="10"/>
        <rFont val="Times New Roman"/>
        <family val="1"/>
      </rPr>
      <t>GDPbyInd_VA_NAICS: Value Added by Industry, Gross Output by Industry, Intermediate Inputs by Industry, the Components of Value Added by Industry, and Employment by Industry</t>
    </r>
    <r>
      <rPr>
        <sz val="10"/>
        <rFont val="Times New Roman"/>
        <family val="1"/>
      </rPr>
      <t>,</t>
    </r>
  </si>
  <si>
    <t>http://www.bea.gov/industry/xls/GDPbyInd_VA_NAICS_1998-2007.xls, 12/17/2008</t>
  </si>
  <si>
    <t>Given the value of GDP this easily translates into over 530 billion.</t>
  </si>
  <si>
    <t>Energy savings in transportation also increases productivity. Freight trains have always been much more productive per ton-mile moved than trucks. It takes fewer drivers, and fewer loaders and unloaders to move goods by train than truck. If we move high value freight from trucks to trains then freight transport productivity will quadruple for those goods.</t>
  </si>
  <si>
    <t>Similarly, emissions savings in industry depend in part on making goods last longer, reducing scrap. Much of the payback for industrial savings is in the form of reduced maintenance, and of fewer emergency shutdowns. So we can expect productivity gains in the industrial sector as well.</t>
  </si>
  <si>
    <r>
      <t xml:space="preserve">Lipow, Gar. </t>
    </r>
    <r>
      <rPr>
        <i/>
        <sz val="10"/>
        <rFont val="Times New Roman"/>
        <family val="1"/>
      </rPr>
      <t>No Hair Shirt Solutions to Global Warming</t>
    </r>
    <r>
      <rPr>
        <sz val="10"/>
        <rFont val="Times New Roman"/>
        <family val="1"/>
      </rPr>
      <t>. (Web published, 2007), 9-65. No Hair Shirts, http://www.nohairshirts.com/chap1.doc, 12/17/2008.</t>
    </r>
  </si>
  <si>
    <t>Air travel falls by half, costing GDP  recovered as GDP switched to other uises</t>
  </si>
  <si>
    <t>Cost upgrading ships to natural gas driven hybrids, supplemented by flying sails</t>
  </si>
  <si>
    <t>Total efficiency means plus solar climate control and modest wind use in shipping</t>
  </si>
  <si>
    <t>Cost per kW for Wind Generator</t>
  </si>
  <si>
    <t>$1,300-$1,700</t>
  </si>
  <si>
    <t>http://www.bpa.gov/Energy/N/projects/post2006conservation/doc/Windpower_Cost_Review.doc</t>
  </si>
  <si>
    <t>Midpoint</t>
  </si>
  <si>
    <t>Wind power capacity compared to nameplate</t>
  </si>
  <si>
    <t>http://www.awea.org/newsroom/releases/Wind_Power_Capacity_012307.html</t>
  </si>
  <si>
    <t>1 KW at 30.5% capacity</t>
  </si>
  <si>
    <t>kwh per year</t>
  </si>
  <si>
    <t>To produce 100% of demand</t>
  </si>
  <si>
    <t>KW nameplate capacity</t>
  </si>
  <si>
    <t>Cost of 100% wind</t>
  </si>
  <si>
    <t>billion dollars</t>
  </si>
  <si>
    <t>To compensate for 10% transmission losses</t>
  </si>
  <si>
    <t>To compensate for 30% loss of 2/3rds of power due to storage losses</t>
  </si>
  <si>
    <t>Transmission lines</t>
  </si>
  <si>
    <t>backup NG at $800 pe KW</t>
  </si>
  <si>
    <t>January 2008 Estimate from oil drum (electricfy a portion and greatly increase capacity)</t>
  </si>
  <si>
    <t>http://www1.eere.energy.gov/windandhydro/pdfs/4_transmission_integration_smith.pdf</t>
  </si>
  <si>
    <t>60 billion for 20% so 300 billion for 100%</t>
  </si>
  <si>
    <t>does not have to scale linearly because large amounts of storage handle transient demand spikes</t>
  </si>
  <si>
    <t>(Note: we also have existing hydro, geothermal to some extent as added stabilizer)</t>
  </si>
  <si>
    <t>Aggressive efficiency</t>
  </si>
  <si>
    <t>Solar costs</t>
  </si>
  <si>
    <t>http://www.ethree.com/GHG/19%20Solar%20Thermal%20Assumptions%20v4.doc</t>
  </si>
  <si>
    <t>Overnight costs including six hours storage for 340 meg plant</t>
  </si>
  <si>
    <t>10% for transmisison</t>
  </si>
  <si>
    <t>7% of two third for storage losses</t>
  </si>
  <si>
    <t>Cost per KW</t>
  </si>
  <si>
    <t>KW to meet demand</t>
  </si>
  <si>
    <t>Total Cost</t>
  </si>
  <si>
    <t>Tramission lines</t>
  </si>
  <si>
    <t>Another 18 hours storage at $40/kWh</t>
  </si>
  <si>
    <t>Based on $20,000 average per residence of efficiency measures, solar, and heat pumps -</t>
  </si>
  <si>
    <t xml:space="preserve"> much cheaper in  multi-unit than single unit, much cheaper in new than exisitng</t>
  </si>
  <si>
    <t>quad consumption 2005</t>
  </si>
  <si>
    <t>Residential insulation, solar, heat pumps and appliances</t>
  </si>
  <si>
    <t>These measure could save between 40% and 80% per unit of GDP</t>
  </si>
  <si>
    <t>quad</t>
  </si>
  <si>
    <t>High Response</t>
  </si>
  <si>
    <t>Medium Response</t>
  </si>
  <si>
    <t>Low Response</t>
  </si>
  <si>
    <t>Why per unit of GDP? Because regardless of efficiency scenario, we need low emission sources. Given that  there is very limited potential for biofuels, that mostly means electricity</t>
  </si>
  <si>
    <t xml:space="preserve">But solar and wind resources are many times any forseeable consumption in this century.  So. Assuming sun and wind remain more expensive than fossil fuels the practical limit to our ability to </t>
  </si>
  <si>
    <t xml:space="preserve">subsitute them for fossil fuels is limited only by our ability to use them efficiently enough to make up for the extra cost. If we can produce twice as much from a kWh of electricity, we can afford to </t>
  </si>
  <si>
    <t>to buy solar electrcity for double what we currently pay for coal.</t>
  </si>
  <si>
    <t>High response in kWh (low consumption)</t>
  </si>
  <si>
    <t>Medium Response (medium consumption)</t>
  </si>
  <si>
    <t>Low Response (high consumption)</t>
  </si>
  <si>
    <t>Aggressive Efficiency Scenarios</t>
  </si>
  <si>
    <t>kWh needed</t>
  </si>
  <si>
    <t>40% utiliization</t>
  </si>
  <si>
    <t>Efficiency Costs</t>
  </si>
  <si>
    <t>Total</t>
  </si>
  <si>
    <t>Renewable costs</t>
  </si>
  <si>
    <t>Additional Savings: - substituting renewables for coal and gas electricity reduces primary conversion losses</t>
  </si>
  <si>
    <t>Cost of aggressive scenario (billions)</t>
  </si>
  <si>
    <t>Capital cost per annual kWh generation</t>
  </si>
  <si>
    <t>Aggressive 60% savings</t>
  </si>
  <si>
    <t>Aggressive 40% savings</t>
  </si>
  <si>
    <t>Aggressive 80% savings</t>
  </si>
  <si>
    <t>Moderate 30% Savings</t>
  </si>
  <si>
    <t>Scenario</t>
  </si>
  <si>
    <t>Cost/Billions</t>
  </si>
  <si>
    <t>cost per KW</t>
  </si>
  <si>
    <t>5% interest</t>
  </si>
  <si>
    <t>20 year payback</t>
  </si>
  <si>
    <t>payback billions</t>
  </si>
  <si>
    <t>Ratio of energy use, plus denser use so less costly saving</t>
  </si>
  <si>
    <t>Higher percent, but still denser use, plus multiple processe opportunities for synergy plus effects of materials choices and consuemr choice</t>
  </si>
  <si>
    <t>Residential insulation, appliance upgrades, shared heat pumps or solar</t>
  </si>
  <si>
    <t>heat pumps under streets or shared solar heating panels</t>
  </si>
  <si>
    <t>These measure could save between 30% and  60%</t>
  </si>
  <si>
    <t>Moderate 45% Savings</t>
  </si>
  <si>
    <t>Moderate 60% Savings</t>
  </si>
  <si>
    <t>kwh in 100 quads</t>
  </si>
  <si>
    <t>30 year payback</t>
  </si>
  <si>
    <t>Generation Costs</t>
  </si>
  <si>
    <t>10% increase to cover low water version</t>
  </si>
  <si>
    <t>[233]Mark Hutchinson, Trickle Irrigation: Using and Conserving Water in the Home Garden - University of Maine Cooperative Extension Bulletin #2280. April 2005, University of Maine Cooperative Extension, 13/Jul/2005 &lt; http://www.umext.maine.edu/onlinepubs/htmpubs/2160.htm&gt;.</t>
  </si>
  <si>
    <t>[234]William B. DeOreo, David M. Lewis, and Peter  W. Mayer, Seattle Home Water Conservation Study: The Impacts of High Efficiency Plumbing Fixture Retrofits in Single-Family Homes. December 2000. Aquacraft, Inc. Water Engineering and Management, 08/Aug/2005 &lt;http://www.cuwcc.org/Uploads/product/Seattle-Final-Report.pdf&gt;.p54.</t>
  </si>
  <si>
    <t>[235]Madison Gas &amp; Electric Company, Water Heaters. Feb/25 2005.  Madison Gas and Electric Company, Madison Gas and Electric Company, 08/Aug/2005 &lt;http://www.mge.com/images/PDF/Brochures/Residential/WaterHeaters.pdf&gt;.p3.</t>
  </si>
  <si>
    <t>[236]Low Energy Systems, Inc, Infinion with Battery Spark Ignition. August 2005, Low Energy Systems, Inc, 08/Aug/2005 &lt;http://www.tanklesswaterheaters.com/infinion2.html&gt;.</t>
  </si>
  <si>
    <t>[237] U.S. Department of Energy Office of Energy Efficiency and Renewable Energy, "Energy Savers: Compact Fluorescent Lamps," Energy Savers: A Consumer Guide to Renewable Energy and Energy Efficiency, 21/June 2004, 19/Aug/2005 &lt;http://www.eere.energy.gov/consumerinfo/factsheets/ef2.html&gt;.</t>
  </si>
  <si>
    <t>[238]Fisher &amp; Paykel, Washers. August 2005, Fisher &amp; Paykel, 19/Aug/2005 &lt;http://usa.fisherpaykel.com/laundry/washers/washers.cfm&gt;.</t>
  </si>
  <si>
    <t xml:space="preserve">[239]Secondary (end use) consumption is 4 kWh per load for the electric dryer, plus  .23 kWh per load plus .22 therms per load for the gas dryer. If you convert therms to kWh at 100% efficiency this comes out the gas dryer actually using 67% more energy than an electric dryer. </t>
  </si>
  <si>
    <r>
      <t xml:space="preserve">Energy Star Program of the EPA and  DOE, "About the HES Appliance Module," </t>
    </r>
    <r>
      <rPr>
        <i/>
        <sz val="10"/>
        <rFont val="Times New Roman"/>
        <family val="1"/>
      </rPr>
      <t>The Home Energy Saver</t>
    </r>
    <r>
      <rPr>
        <sz val="10"/>
        <rFont val="Times New Roman"/>
        <family val="1"/>
      </rPr>
      <t>, Table 3: Other Appliances and Miscellaneous Energy Usages, 06/June 2001, Energy Star Program of the EPA and  DOE, 20/Aug/2005 &lt; http://homeenergysaver.lbl.gov/hes/aboutapps.html&gt;.</t>
    </r>
  </si>
  <si>
    <t>However, on average heat driven power plants convert only 36.47% of heat energy into electricity.</t>
  </si>
  <si>
    <r>
      <t xml:space="preserve">International Energy  Agency, </t>
    </r>
    <r>
      <rPr>
        <i/>
        <sz val="10"/>
        <rFont val="Times New Roman"/>
        <family val="1"/>
      </rPr>
      <t>Electricity Information 2002 Edition</t>
    </r>
    <r>
      <rPr>
        <sz val="10"/>
        <rFont val="Times New Roman"/>
        <family val="1"/>
      </rPr>
      <t>, Electricity Information, vol. 2002  Edition, no. ISBN 9264197931 (Paris: OECD - Organisation for Economic Co-operation and Development, 2002).p.II.706</t>
    </r>
  </si>
  <si>
    <t>Part II Table 9 United State Electricity Production From Combustible Fuels in Electricity Plants"</t>
  </si>
  <si>
    <t>So dividing the electricity consumption in both gas and electric dryers by 36.47, and then converting both to therms or both to kWh as you please, you end up with a 35.47% savings.</t>
  </si>
  <si>
    <t>[240]California Energy Commission, "Dryers," Consumer Energy Center - Inside Your Home, August 2005, California Energy  Commission, 20/Aug/2005 &lt;http://www.consumerenergycenter.org/homeandwork/homes/inside/appliances/dryers.html&gt;.</t>
  </si>
  <si>
    <t>Commercial Assumptions</t>
  </si>
  <si>
    <t>In commercial buildings well known techniques (not including heat pumps or solar) can save an average 70% of total energy consumption in existing buildings during a full rehab, and of course in new buildings as well.  Again, because of urgency, we probably should not wait the full 20-25 years until existing buildings need such rehabs, but we can do older ones first, and ensure that buildings have at least ten years amortization from their creation or last rehab before doing such work.</t>
  </si>
  <si>
    <t>Efficiency upgrades for commercial buildings</t>
  </si>
  <si>
    <t>So absolute best case CyberTran replacing every bus coul save 2/3rds of 49% of auto owneship costs</t>
  </si>
  <si>
    <t>If CyberTran could reduce car ownershiip by half for 49% of population</t>
  </si>
  <si>
    <t>Transit funding</t>
  </si>
  <si>
    <t>Mixed rail and electrified buses</t>
  </si>
  <si>
    <t>Electric short haul trucks</t>
  </si>
  <si>
    <t>Assumes 50 billion towards transition until electric short haul trucks catch up in cost with conentional</t>
  </si>
  <si>
    <t>Rail and Electrified Bus transit</t>
  </si>
  <si>
    <t>Cybertran costs to replace all bus routes</t>
  </si>
  <si>
    <t>Annual returns needed for 20 year payback at 5%</t>
  </si>
  <si>
    <t>Annual returns needed for 30 year payback at 5%</t>
  </si>
  <si>
    <t>Bottom line: Massive investment in Cybertran in addition to everything would pay off handsomely, if it was utilized</t>
  </si>
  <si>
    <t>If it did not cut automobile use heavily, you come out behind - on a 3.2 trillion investment</t>
  </si>
  <si>
    <t>Conclusion, deploy only in fairly dense urban and suburban areas where a substantial number of people are likely to WANT to give up cars</t>
  </si>
  <si>
    <t>kWh per year</t>
  </si>
  <si>
    <t>Moderate Efficiency</t>
  </si>
  <si>
    <t>Cheaper batteries means electric cars cost about $1,000 more than a conventional car</t>
  </si>
  <si>
    <r>
      <t>Table 1026.</t>
    </r>
    <r>
      <rPr>
        <b/>
        <sz val="12"/>
        <rFont val="Courier New"/>
        <family val="3"/>
      </rPr>
      <t xml:space="preserve"> Retail Sales--New Passenger Cars: 1990 to 2005</t>
    </r>
  </si>
  <si>
    <t>http://www.bea.gov/bea/dn/nipaweb/TableView.asp?SelectedTable=262&amp;ViewSeries=NO&amp;Java=no&amp;Request3Place=N&amp;3Place=N&amp;FromView=YES&amp;Freq=Year&amp;FirstYear=2004&amp;LastYear=2004&amp;3Place=N&amp;Update=Update&amp;JavaBox=no#Mid</t>
  </si>
  <si>
    <t>ational Income and Product Accounts Table</t>
  </si>
  <si>
    <t>Table 7.2.6B. Real Motor Vehicle Output, Chained Dollars</t>
  </si>
  <si>
    <t>Final sales of motor vehicles to</t>
  </si>
  <si>
    <t>http://www.fhwa.dot.gov/policy/2006cpr/es06h.htm</t>
  </si>
  <si>
    <t>Status of the Nation's Highways, Bridges, and Transit:</t>
  </si>
  <si>
    <t>2006 Conditions and Performance</t>
  </si>
  <si>
    <t>half of 2004 HWY capital &amp; maintenance (2000 dollars)</t>
  </si>
  <si>
    <t>3 hours storage (compared to nameplate)</t>
  </si>
  <si>
    <t>http://www.eia.doe.gov/cneaf/electricity/epa/epates.html</t>
  </si>
  <si>
    <t>Net Electricity Generation 2006</t>
  </si>
  <si>
    <t>kWh per quad</t>
  </si>
  <si>
    <t>Quads current electricity</t>
  </si>
  <si>
    <t>Cost to generate this renewably without technical breakthroughs</t>
  </si>
  <si>
    <t>kWh per KW (40%)</t>
  </si>
  <si>
    <t>Capital Cost to generate this renewably with moderate tech breakthroughs</t>
  </si>
  <si>
    <t>http://www.popsci.com/scitech/article/2008-05/ten-times-turbine</t>
  </si>
  <si>
    <t>Multiple turbines per tiliting tower - pure guess on cost</t>
  </si>
  <si>
    <t>Wind shadow reduces percent capacity</t>
  </si>
  <si>
    <t>Cost per KW (mass production, use of waste heatf or desal)</t>
  </si>
  <si>
    <t>Another 18 hours storage at $15/kWh (near term breakthrough)</t>
  </si>
  <si>
    <t>Capital cost per annual kwh</t>
  </si>
  <si>
    <t>Capital Cost to generate this renewably with aggressive tech breakthroughs</t>
  </si>
  <si>
    <t>http://www.skywindpower.com/ww/index.htm</t>
  </si>
  <si>
    <t>Flying energy generators at 15,000 + feet gain higher capacity</t>
  </si>
  <si>
    <t>Cost per KW larges scale mass production, computer controlled flat mirrors or inflated parabolic collectors</t>
  </si>
  <si>
    <t>Another 18 hours storage at $10/kWh (aggressive breakthrough)</t>
  </si>
  <si>
    <t>Capital cost per annual kWh of renewalbes</t>
  </si>
  <si>
    <t>No Technical Improvement</t>
  </si>
  <si>
    <t>Moderate Technical Improvement</t>
  </si>
  <si>
    <t>No Technical Improvement Scenarios</t>
  </si>
  <si>
    <t>Moderate Technical Improvement Scenarios</t>
  </si>
  <si>
    <t>Cost per annual kWh</t>
  </si>
  <si>
    <t>Moderate Effciency Cost</t>
  </si>
  <si>
    <t>High response moderate renewable improve</t>
  </si>
  <si>
    <t>http://www.forbes.com/opinions/2007/11/12/flint-trucks-toyota-oped-cx_jf_1113flint.html</t>
  </si>
  <si>
    <t>Heavy Truck Purchases</t>
  </si>
  <si>
    <t>106.6 billion construction</t>
  </si>
  <si>
    <t>Aggressive 60% Savings</t>
  </si>
  <si>
    <t>Aggressive 40% Savinge</t>
  </si>
  <si>
    <t>Moderate 60% savings</t>
  </si>
  <si>
    <t>Moderate 45% savings</t>
  </si>
  <si>
    <t>Moderate 30% savings</t>
  </si>
  <si>
    <t>Aggressive Technical Improvement</t>
  </si>
  <si>
    <t>Aggessive 80%</t>
  </si>
  <si>
    <t>Aggessive 60%</t>
  </si>
  <si>
    <t>Moderate 60%</t>
  </si>
  <si>
    <t>Moderate 45%</t>
  </si>
  <si>
    <t>Moderate 30%</t>
  </si>
  <si>
    <t>Increased labor productiviity</t>
  </si>
  <si>
    <t>1% of 2006 GDP is 130 billion</t>
  </si>
  <si>
    <t>http://www.bea.gov/industry/xls/GDPbyInd_VA_NAICS_1998-2007.xls</t>
  </si>
  <si>
    <t>Very rough (and low) estimate based on GDP</t>
  </si>
  <si>
    <t>State Energy Price and Expenditure Estimates</t>
  </si>
  <si>
    <t>1970 Through 2005</t>
  </si>
  <si>
    <t>http://www.nohairshirts.com/chap16.php</t>
  </si>
  <si>
    <t>DOC </t>
  </si>
  <si>
    <t>PDF </t>
  </si>
  <si>
    <t> HTML</t>
  </si>
  <si>
    <t>  Lightening Up: Reducing Material Intensity</t>
  </si>
  <si>
    <t>   Sticks N’ Stones N’ Straw N’ Steel: Material Intensity in Building Construction</t>
  </si>
  <si>
    <t>   Fields of Barley, Fields of Gold: Material Intensity in Agriculture</t>
  </si>
  <si>
    <t>   Water is More Precious than Gold: Material Intensity in Water Use</t>
  </si>
  <si>
    <t>   Working for the Weekend: Material Intensity in Appliances &amp; Office Equipment</t>
  </si>
  <si>
    <t>   Can’t Hide Your Lying Eyes: Material Intensity in Packaging</t>
  </si>
  <si>
    <t>Air Pollution Table</t>
  </si>
  <si>
    <t>See Air Pollution Table below</t>
  </si>
  <si>
    <t>Subtotal from vehicles</t>
  </si>
  <si>
    <t>95% reduction thus equls</t>
  </si>
  <si>
    <t>Grand total air pollution</t>
  </si>
  <si>
    <t>Savings from reducing power plant pollution by 95%</t>
  </si>
  <si>
    <t>http://www.catf.us/publications/reports/Dirty_Air_Dirty_Power.pdf</t>
  </si>
  <si>
    <t>light rail &amp; electric buses</t>
  </si>
  <si>
    <t>Assumes faster improvement in electric trucks</t>
  </si>
  <si>
    <t>Existing hydro and geothermal provide another .5% bring total from renewables to 99%</t>
  </si>
  <si>
    <t>Cost per kwh per year</t>
  </si>
  <si>
    <t>cost per kWh per year</t>
  </si>
  <si>
    <t>http://www.udel.edu/V2G/docs/KemptonDhanju06-V2G-Wind.pdf</t>
  </si>
  <si>
    <t>According to Archer-Jacobson data used in this study, low power events over nine hours were as follows</t>
  </si>
  <si>
    <t>hours in a year</t>
  </si>
  <si>
    <t>% hours not covered</t>
  </si>
  <si>
    <t>Geothermal and Hydro</t>
  </si>
  <si>
    <t>Nine hours storage of wind system used at 30.5% capacity is ~27 hours, say 3 to be safe</t>
  </si>
  <si>
    <t>Hours</t>
  </si>
  <si>
    <t># Events</t>
  </si>
  <si>
    <t>Hours needing backup</t>
  </si>
  <si>
    <t>No backup needed coverd by 9 hours wind storage</t>
  </si>
  <si>
    <t>% hours in year</t>
  </si>
  <si>
    <t>Even we commit to 20% of nameplate with 30.5% actually reached then we have less than that available only 10% of time (excluding long outages or less than 13% of     time including long outages.)</t>
  </si>
  <si>
    <t xml:space="preserve">We have a third of production not committed that can be time shifted to meet the shorter outages, leaving onl 4.2% to be supplied by backup. If storage was cheap enough we could supply 100% and still </t>
  </si>
  <si>
    <t>have capacity left over. Most the these outages are 3 hours or left, so some of our nine hours can be used to timeshift production even now for load following and peaking.</t>
  </si>
  <si>
    <t>cloud days lasting longer than 24 hours</t>
  </si>
  <si>
    <t>of hours require backup.</t>
  </si>
  <si>
    <t>EIA Reference Case - Quad consumption 2030</t>
  </si>
  <si>
    <t>80% savings</t>
  </si>
  <si>
    <t>60% Savings</t>
  </si>
  <si>
    <t>In addition, even during low wind there is some wind 90% of the time</t>
  </si>
  <si>
    <t xml:space="preserve">Solar: Deserts typically have 25 cloudy or rainy days.  We can assume that perhaps 1 or 2 of these days will be isolated covered by 24 hour storage. </t>
  </si>
  <si>
    <t>Quads</t>
  </si>
  <si>
    <r>
      <t xml:space="preserve">The </t>
    </r>
    <r>
      <rPr>
        <b/>
        <sz val="10"/>
        <rFont val="Arial"/>
        <family val="0"/>
      </rPr>
      <t>Economic Impact of Motor Vehicle Crashes</t>
    </r>
    <r>
      <rPr>
        <sz val="10"/>
        <rFont val="Arial"/>
        <family val="0"/>
      </rPr>
      <t>, 2000</t>
    </r>
  </si>
  <si>
    <t>Measuring the damages of air pollution in the United States</t>
  </si>
  <si>
    <t>Nicholas Z. Mullera and Robert Mendelsohn</t>
  </si>
  <si>
    <t>Journal of Environmental Economics and Management</t>
  </si>
  <si>
    <t>Volume 54, Issue 1, July 2007, Pages 1-14</t>
  </si>
  <si>
    <t>midrange value</t>
  </si>
  <si>
    <t>http://www.vtpi.org/tca/tca0515.pdf</t>
  </si>
  <si>
    <t>Residentail Space Heating</t>
  </si>
  <si>
    <t>Residential Water Heating</t>
  </si>
  <si>
    <t>Residential Air conditioning</t>
  </si>
  <si>
    <t>Commerical Space Heating</t>
  </si>
  <si>
    <t>Fatalities 2000</t>
  </si>
  <si>
    <t>Fatalities 2005</t>
  </si>
  <si>
    <t>Increase</t>
  </si>
  <si>
    <t>billion</t>
  </si>
  <si>
    <t>damage 2005</t>
  </si>
  <si>
    <t>Fatalities</t>
  </si>
  <si>
    <t>Per 100 Million</t>
  </si>
  <si>
    <t>Passenger miles</t>
  </si>
  <si>
    <t>% of auto</t>
  </si>
  <si>
    <t xml:space="preserve">And if we provide decent electric cars in areas with a lot less density than Manhattan we might not get that drastic a reduction. Though I think in the long run we want light rail most places bus systems currently run, for the next twenty years we need to find the 500 or so best candidates for light rail, and install it there - CyberTran+A3 or conventional depending on what turns out to work best. (CyberTran sounds good, and has passed all sorts of both simulated and prototype tests, but has never been run commercially in the real world. We should fund real world tests for various forms of ultralight rail, while continuing with conventional light rail plans. If ultralight rail proves itself, then we can modify the plans and deploy it instead of conventional. If not we won't be behind in deploying conventional light rail. </t>
  </si>
  <si>
    <t>Cost for tranist - LRT and Bus</t>
  </si>
  <si>
    <t>http://www.lightrailnow.org/myths/m_mythlog001.htm</t>
  </si>
  <si>
    <t>· Bus</t>
  </si>
  <si>
    <t>· LRT</t>
  </si>
  <si>
    <t>Capital budgets for transit</t>
  </si>
  <si>
    <t>Assume half to electified buses</t>
  </si>
  <si>
    <t>Lives saved per 100 million miles</t>
  </si>
  <si>
    <t>half or LRT</t>
  </si>
  <si>
    <t>capital cost per annual passenger mile</t>
  </si>
  <si>
    <t>100s of millions of passnger miles</t>
  </si>
  <si>
    <t>annual lives saved</t>
  </si>
  <si>
    <t>autos, SUV, light trucks</t>
  </si>
  <si>
    <t>percent of miles shifted to transit</t>
  </si>
  <si>
    <t>Average</t>
  </si>
  <si>
    <t>applying percemt actual % social costs</t>
  </si>
  <si>
    <t>So payback in saved accidents for transit</t>
  </si>
  <si>
    <t>Billion</t>
  </si>
  <si>
    <t>Transit reductions of accident costs (excluding lives saved)</t>
  </si>
  <si>
    <t>If economic costs of avoided deaths are valued at 7 million each</t>
  </si>
  <si>
    <t>Ecomomic values of lives saved by switch to transit</t>
  </si>
  <si>
    <t>Ultralight rail, something has never been fully tested in the real world has major potential as a breakthrough for mass transit.</t>
  </si>
  <si>
    <t>Reduction in accident costs with a swich to light rail</t>
  </si>
  <si>
    <t>Transport Safety Sheet</t>
  </si>
  <si>
    <t>Breakeven point with 35% reduction and 30 year payback</t>
  </si>
  <si>
    <t>Breakeven with 29% reductiona and 50 year paybakc</t>
  </si>
  <si>
    <t xml:space="preserve">Given that really awful bus systems still reduce auto use by 8% (remember tranit carries 4% of passenger miles but is only accessible to  half the population) it seem likely that a really first rate transit system could reduce auto use by at least 1/3rd.  Again in extreme cases we see reductions in auto traffic of two thirds. </t>
  </si>
  <si>
    <t>I'm guessing 50,000 miles properly deployed would safely pay for itself, by 80/20 rule compared to 250,000 miles bus toutes. -so total cost</t>
  </si>
  <si>
    <t>Also I'm not suggesting CyberTran deployment be funding on any large scale. I would suggest spending 250 million to deploy is a densly populated small town as an experiment</t>
  </si>
  <si>
    <t>It should be funded as a full small town transit system - covering all major routes so that it is a true test. Based on those results further deployment should then be considered or not.</t>
  </si>
  <si>
    <t>Payback in reduced Traffic Fatalities</t>
  </si>
  <si>
    <t>See Transport Safety Worksheet</t>
  </si>
  <si>
    <t>kWh/mile</t>
  </si>
  <si>
    <t>kWh at 0.33 kWh per mile</t>
  </si>
  <si>
    <t xml:space="preserve">Remember, time switching is not the same storage capacity: being able to reduce shift 1/3rd of demand is </t>
  </si>
  <si>
    <t>won't let you shit 100% of demand for an eight hour period, whereas eight hours storage will let you supply</t>
  </si>
  <si>
    <t>100% of demand for a period of time (more or less than eight hours depending upon when needed).</t>
  </si>
  <si>
    <t>`</t>
  </si>
  <si>
    <t>Transport Safey</t>
  </si>
  <si>
    <t>Paybacks from reductions in accidents by switching to trains or buses - does not substantially change scenarios, but important payback in CyberTran Sheet</t>
  </si>
  <si>
    <t>Discusses CyberTran and conventional light rail. CyberTran is not considered in scenarios, but is nonetheless something we should develop.</t>
  </si>
  <si>
    <t>Moderate Efficiency Scenarios</t>
  </si>
  <si>
    <t>Aggressive investment/moderate efficiency response</t>
  </si>
  <si>
    <t>Aggressive investment/strong efficiency response</t>
  </si>
  <si>
    <t>Aggressive investment/low efficiency response</t>
  </si>
  <si>
    <t>Moderate investment/strong efficiency response</t>
  </si>
  <si>
    <t>Moderate investment/moderate efficiency response</t>
  </si>
  <si>
    <t>Moderate investment/low efficiency response</t>
  </si>
  <si>
    <t>Renewable Costs</t>
  </si>
  <si>
    <t>Aggressive Technical Improvement Scenarios</t>
  </si>
  <si>
    <t>This spreadsheet contains bottom up scenarios. It takes specific technologies, the known cost of implementing them, and various scenarios for responses to such implementation and technical improvements (including no technical improvement!) and add up costs and benefits. This is intended to be an open source model.</t>
  </si>
  <si>
    <t>Compares the costs of varous levels of investment and responses. It concludes that we had better pursue efficiency aggressviely and NOT FAIL. Low efficiency responses are expensive.</t>
  </si>
  <si>
    <t>Combining various technical and renewable improvements  to get costs for various scenarios</t>
  </si>
  <si>
    <t>Narrative explaining reasoning behind renewable scenarios</t>
  </si>
  <si>
    <t>Shows costs of renewable grid, detail on why interconnection can give reliable power, and how combining sun and wind  can produce more stable grid than either alone</t>
  </si>
  <si>
    <t>Total to show fossil fuel an biofuel use</t>
  </si>
  <si>
    <t>We can't completely electrify the automobile in 20 years because:</t>
  </si>
  <si>
    <t xml:space="preserve">  1) the autombile has a life cycle of 20 years</t>
  </si>
  <si>
    <t xml:space="preserve">   2) It will take 7 years to develop mature economcial 200 mile range full BEVS and have factories fully in place</t>
  </si>
  <si>
    <t>But: by the time a car reachs 13 years of age it is driven about ten percent of the average fleet.</t>
  </si>
  <si>
    <t>So if all cars from 2017 forward are either full BEV or PHEV , then by 2030 90% of auto miles will be driven on those carss</t>
  </si>
  <si>
    <t>So in 2030 add</t>
  </si>
  <si>
    <t>So in basically in addition to what is already estimate  about 10%  to 15% emissions from todays fleet will continue</t>
  </si>
  <si>
    <t>These will all be thirteen year old cars. They will be goned by 2040 and if that is not soon enough we can offer</t>
  </si>
  <si>
    <t>a buyback program to retire them sooner - if oil prices don't drive them out of existence or lower use much more</t>
  </si>
  <si>
    <t>than I've estimated in any case.</t>
  </si>
  <si>
    <t>Total U.S. electrical consumptionin 2006</t>
  </si>
  <si>
    <t>For example lets take a strong efficiency scenario</t>
  </si>
  <si>
    <t>75% reduciton in industrial consumption, with 80% of remainder switched to grid</t>
  </si>
  <si>
    <t>Low temp heat reduced by 80%, with remaining 20% switched to grid</t>
  </si>
  <si>
    <t>Compared to current energy consumption:</t>
  </si>
  <si>
    <t>one quarter of 33% of energy that is U.S industrial, 80% electrical</t>
  </si>
  <si>
    <t>Indiviudal electric vheicles</t>
  </si>
  <si>
    <t>Residential at 20% of current</t>
  </si>
  <si>
    <t>Commercial at 20% of present</t>
  </si>
  <si>
    <t>the need for dispatchable electricity, but not eliminate it, And that need is NOT just emergency backup</t>
  </si>
  <si>
    <t>upper limits and NOT real achievable potential.</t>
  </si>
  <si>
    <t>Low temp process heat (part of the above 70% figure)</t>
  </si>
  <si>
    <t>Main</t>
  </si>
  <si>
    <t>Efficiency</t>
  </si>
  <si>
    <t>Renew</t>
  </si>
  <si>
    <t>TechImprove</t>
  </si>
  <si>
    <t>Renewtech</t>
  </si>
  <si>
    <t>Sgrid</t>
  </si>
  <si>
    <t>costs</t>
  </si>
  <si>
    <t>Scenarios</t>
  </si>
  <si>
    <t>This worksheet</t>
  </si>
  <si>
    <t>Residential Assumptions</t>
  </si>
  <si>
    <t>Efficiency upgrades for existing homes</t>
  </si>
  <si>
    <t xml:space="preserve">The assumption here is that extremely aggressive expenditures can reduce consumption in existing homes by 80% and that moderately aggressive expenditures could reduce consumption by 60%.  </t>
  </si>
  <si>
    <t>Install full floor and attic insulation, attic to R50 (or more depending on climate), floor to R30 or more depending on climate. Install maximum weather-sealing consistent with avoiding indoor air pollution. Retrofit energy recovery ventilators in 5% or 10% of cases where such retrofits will pay for themselves. Insulate and seal frames of non-operable windows, and apply normal weather sealing to operable windows. Provide insulating curtains for all windows, except where the window is due for replacement: then upgrade the replacement from standard to high efficiency windows. (In some cases you may still use insulating curtains, in others they are redundant.)</t>
  </si>
  <si>
    <t xml:space="preserve">We have demonstrated we can save between two-thirds and three-quarters of the energy in both existing and new commercial buildings (compared to the current average) with a simple payback ranging from less than no time (energy saving techniques lower capital costs) to seven years. Longer payback periods typically do not include gains in productivity, which is the major economic benefit in both new construction and rehabilitation. </t>
  </si>
  <si>
    <t>We are NOT going to substitute demand shifting for baseload or load following. A smart grid can reduce</t>
  </si>
  <si>
    <t>between 3-4 quad</t>
  </si>
  <si>
    <t>At the end of 20 years, we can have replaced half of marine freight. By then SkySails may be improved to where they proivde have the power for new and existing ships</t>
  </si>
  <si>
    <t>Water Freight 4.43% of 33 (In 20 years we can replace half of it with more efficient ships)</t>
  </si>
  <si>
    <t>20% skysails plus 50% replacement with 50% more efficient ships (assume lifespand 30-50 years so 20 yrs halfway through replacement of 40 percent average</t>
  </si>
  <si>
    <t>Summary tables for renenwable energy costs with no technical improvements</t>
  </si>
  <si>
    <t>Efficiency scenarios with technical improvements</t>
  </si>
  <si>
    <t>Renewable scenarios with techncial improvements</t>
  </si>
  <si>
    <t>Worksheet by Gar W. Lipow and Jonathan Rynn</t>
  </si>
  <si>
    <t>[246]William Browning, NMB Bank Headquarters: The Impressive Performance of a Green Building, June 1992). 24/Feb 2003. The Urban Land Institute, Rocky Mountain Institute, 22/Aug/2005 &lt;http://www.rmi.org/images/other/GDS/D92-21_NMBBankHQ.pdf&gt;.p24.</t>
  </si>
  <si>
    <t>[247]U.S. Department of Energy Office of Energy Efficiency and Renewable Energy, 2004 Buildings Energy Databook, Jan 2005). Jan 2005. U.S. Department of Energy Office of Energy Efficiency and Renewable Energy, 22/Aug/2005 &lt;http://buildingsdatabook.eren.doe.gov/docs/2004bedb-0105.pdf&gt;.p1-9.</t>
  </si>
  <si>
    <t>Table 1.3.4 - Commercial Delivered and Primary Energy Consumption Intensities, by Year</t>
  </si>
  <si>
    <t>[248] http://erg.ucd.ie/EC2000/EC2000_PDFs/dossier_1011.pdf</t>
  </si>
  <si>
    <r>
      <t xml:space="preserve">Commission of the European Communities, </t>
    </r>
    <r>
      <rPr>
        <i/>
        <sz val="10"/>
        <rFont val="Times New Roman"/>
        <family val="1"/>
      </rPr>
      <t>Energy Consumption and Cost Effectiveness of EC2000 Buildings</t>
    </r>
    <r>
      <rPr>
        <sz val="10"/>
        <rFont val="Times New Roman"/>
        <family val="1"/>
      </rPr>
      <t xml:space="preserve">, Jan 2000). </t>
    </r>
    <r>
      <rPr>
        <i/>
        <sz val="10"/>
        <rFont val="Times New Roman"/>
        <family val="1"/>
      </rPr>
      <t>Energy Comfort 2000</t>
    </r>
    <r>
      <rPr>
        <sz val="10"/>
        <rFont val="Times New Roman"/>
        <family val="1"/>
      </rPr>
      <t xml:space="preserve">, European Commission Thermie Project to Reduce Energy and Improve Comfort and Environment, Information Dossier Number 10/11. January 2004. </t>
    </r>
    <r>
      <rPr>
        <i/>
        <sz val="10"/>
        <rFont val="Times New Roman"/>
        <family val="1"/>
      </rPr>
      <t>Commission of the European Communities</t>
    </r>
    <r>
      <rPr>
        <sz val="10"/>
        <rFont val="Times New Roman"/>
        <family val="1"/>
      </rPr>
      <t>, Energy Research Group - University College, 22/Aug/2005 &lt;http://erg.ucd.ie/EC2000/EC2000_PDFs/dossier_1011.pdf&gt;.pp1-2.</t>
    </r>
  </si>
  <si>
    <t xml:space="preserve">[249] </t>
  </si>
  <si>
    <t>Ibid 248 pp2-3.</t>
  </si>
  <si>
    <t>[250]Ibid 248 pp3-4.</t>
  </si>
  <si>
    <t>[251]Energy Research Group - University College, Case Study Module C - Sukkertoppen - Copenhagen DK. Mid Career Education: Solar Energy in European Office Buildings. Nov 1997. Energy Research Group - University College, 22/Aug/2005 &lt;http://erg.ucd.ie/mid_career/pdfs/case_study_C.pdf&gt;.p15.</t>
  </si>
  <si>
    <t>[252] Joseph J. Romm, Cool Companies: How the Best Businesses Boost Profits and Productivity by Cutting Greenhouse Gas Emissions (Washington D.C. &amp; Covelo CA: Island Press, 1999).p51.</t>
  </si>
  <si>
    <t>Chapter 3: Buildings.</t>
  </si>
  <si>
    <t>[253] Joseph J. Romm, Cool Companies: Proven Results -  Cool  Buildings. 2005, Romm,Joseph J., 22/Aug/2005 &lt;http://www.cool-companies.com/proven/buildings.cfm&gt;.</t>
  </si>
  <si>
    <t>[254]Green Building Council, USGBC - LEED Case Study - Energy - DEP Cambria. 2003, Green Building Council, 22/Aug/2005 &lt;http://leedcasestudies.usgbc.org/energy.cfm?ProjectID=47&gt;.</t>
  </si>
  <si>
    <t>[255]Green Building Council, USGBC - LEED Case Study - Finance - DEP Cambria. 2003, Green Building Council, 22/Aug/2005 &lt;http://leedcasestudies.usgbc.org/finance.cfm?ProjectID=47&gt;.</t>
  </si>
  <si>
    <t>[256]U.S. Department of Energy Office of Energy Efficiency and Renewable Energy, Department of Environmental  Protection, Cambria Office Building, Ebensberg Pennsylvania - Highlighting High Performance, Nov 2001), DOE/GO-102001-1353. Jan 2002. U.S. Department of Energy Office of Energy Efficiency and Renewable Energy, 22/Aug/2005 &lt;http://www.eere.energy.gov/buildings/info/documents/pdfs/29941.pdf&gt;.p3.</t>
  </si>
  <si>
    <t>[257]Buy Recycled Business Alliance, Natural Resources Defense Council, 2004). 17/Sep 2004. Buy Recycled Business Alliance, 22/Aug/2005 &lt;http://www.brba-epp.org/brba-epp.org/pdfs/Natural%20Resou%E2%80%A6ces%20Defense%20C.pdf&gt;.p2.</t>
  </si>
  <si>
    <t>Transport Assumptions</t>
  </si>
  <si>
    <t>Industry Assumptions</t>
  </si>
  <si>
    <t>These worksheets contain narratives about assumptions as to the cost and means of efficiency improvements, electricifcation and use of solar thermal in various sectors.</t>
  </si>
  <si>
    <t>Transportation</t>
  </si>
  <si>
    <t>   Paper in Fire: Material Intensity in Paper Use</t>
  </si>
  <si>
    <t>   Bed of Roses: Material Intensity in Furniture</t>
  </si>
  <si>
    <t>   Dress You Up in My Love: Material Intensity in Fibers</t>
  </si>
  <si>
    <t>   Big Wheels Keep On Turning: Material Intensity in Transportation</t>
  </si>
  <si>
    <t>   Clean Sweep: Reducing Material Intensity by Lowering Pollution</t>
  </si>
  <si>
    <t>   Every Story Has an End: Recycling</t>
  </si>
  <si>
    <t>  'Let's make it, don't waste it': Direct Energy Savings in Industry</t>
  </si>
  <si>
    <t>CHAPTER NAME</t>
  </si>
  <si>
    <t>Pg. #</t>
  </si>
  <si>
    <t>Word</t>
  </si>
  <si>
    <t>Adobe</t>
  </si>
  <si>
    <t>Web</t>
  </si>
  <si>
    <t xml:space="preserve"> Here Today, Gone Tomorrow: Nothing Lasts Forever and a Day </t>
  </si>
  <si>
    <t> Saving Grace: Industrial Efficiency</t>
  </si>
  <si>
    <t>End Notes</t>
  </si>
  <si>
    <t>3 hours storage (compared to nameplate) at lowered ($300 per kWh) cost</t>
  </si>
  <si>
    <t>1 KW at 55% capacity (FEG)</t>
  </si>
  <si>
    <t>Multiple turbines per tiliting tower lower cost</t>
  </si>
  <si>
    <t>To compensate for 30% loss of 2/3rds of power due to storage losses (2/3rds of 30% of delivered not generated. Stoarge is close to delivery points for cost and stablility reasons.)</t>
  </si>
  <si>
    <t>Cost of  Wind</t>
  </si>
  <si>
    <t>Wind power capacity compared to nameplate. (Lower perecent of maximum capacity but extensive use of offshore still raises net capacity)</t>
  </si>
  <si>
    <t>1 KW at 35% capacity</t>
  </si>
  <si>
    <t>Nine hours or fewer - fulfilled by time shifting - from avail overages of nearly 4X shortage</t>
  </si>
  <si>
    <t>Cost around 35% solar/ 65% wind</t>
  </si>
  <si>
    <t>Cost of ~65% wind and 35% sun</t>
  </si>
  <si>
    <t>cost of ~65% wind and ~35% sun</t>
  </si>
  <si>
    <t>billions</t>
  </si>
  <si>
    <t>20 Year Net</t>
  </si>
  <si>
    <t>O&amp;M &amp; Fossil Fuel</t>
  </si>
  <si>
    <t>needed billions</t>
  </si>
  <si>
    <t>30 YR Net</t>
  </si>
  <si>
    <t>Payback needed</t>
  </si>
  <si>
    <t>Including O&amp;M</t>
  </si>
  <si>
    <t>Renewable Assumptions</t>
  </si>
  <si>
    <t>For 100% grid</t>
  </si>
  <si>
    <t xml:space="preserve">   Wind</t>
  </si>
  <si>
    <t xml:space="preserve">   Sun</t>
  </si>
  <si>
    <t>For 130% grid</t>
  </si>
  <si>
    <t>Rgrid</t>
  </si>
  <si>
    <t>Cost of 30% redundancy to cover all seasonal variation and most annual varietion</t>
  </si>
  <si>
    <t>Increase by 30% to cover most seasonal and some annual variation</t>
  </si>
  <si>
    <t>Cost to increase by 30% to cover all seasonal and some annual variation</t>
  </si>
  <si>
    <t>light rail + electrify buses</t>
  </si>
  <si>
    <t>Marine improvement</t>
  </si>
  <si>
    <t>Very few heat pumps. Little active solar heat</t>
  </si>
  <si>
    <t>SkySails, improved engine - very long term better hulls, propellers and switch to natural gas</t>
  </si>
  <si>
    <t>Marine improvements</t>
  </si>
  <si>
    <t>SkySails, engine overhauls, long rund new ships with better hulls, better propellors switch to natural gas</t>
  </si>
  <si>
    <t>Percent of hours not covered for  65% wind</t>
  </si>
  <si>
    <t>Percent Hours not coverd by 35% solar</t>
  </si>
  <si>
    <t>Mix of sun &amp; wind plus 30% redundancy should eliminate 80% of these</t>
  </si>
  <si>
    <t>Net after Geothermal and Hydro</t>
  </si>
  <si>
    <t>Combined Cycle Turbines at  58% plus 10% lossses = 52.2% efficiency so gas consumption</t>
  </si>
  <si>
    <t xml:space="preserve">So in normal year grid is </t>
  </si>
  <si>
    <t>emissions free</t>
  </si>
  <si>
    <t>emission free</t>
  </si>
  <si>
    <t>One year in five</t>
  </si>
  <si>
    <t>2 yrs in 17</t>
  </si>
  <si>
    <t>So total output even averaging in bad years  less than 1% from natural gas</t>
  </si>
  <si>
    <t>In case of  major volcanic eruptions that drop solar output drastically assume</t>
  </si>
  <si>
    <t>30% Savings</t>
  </si>
  <si>
    <t>NG+biomass remaining</t>
  </si>
  <si>
    <t xml:space="preserve">Quads NG for </t>
  </si>
  <si>
    <t>electricity if</t>
  </si>
  <si>
    <t>95% of energy is</t>
  </si>
  <si>
    <t>electricity</t>
  </si>
  <si>
    <t>for transport &amp; feedstock</t>
  </si>
  <si>
    <t>Approximately 65% wind and 35% olar minimizes seasonal variation</t>
  </si>
  <si>
    <t>With that mixture it looks like a 30% margin will cover most seasonal  &amp; annual varietion</t>
  </si>
  <si>
    <t>Totals</t>
  </si>
  <si>
    <t>Quads for electricity</t>
  </si>
  <si>
    <t>Rail: currently  1.89% of transport</t>
  </si>
  <si>
    <t>Quad</t>
  </si>
  <si>
    <t>We double the efficiency of 85% of it</t>
  </si>
  <si>
    <t>We reduce coal coal by 95%</t>
  </si>
  <si>
    <t>We multiply use by 2.5</t>
  </si>
  <si>
    <t>Rail total</t>
  </si>
  <si>
    <t>Trucking</t>
  </si>
  <si>
    <t>Trucks use 17.65% of 29%</t>
  </si>
  <si>
    <t>Switch 85% of that to rail</t>
  </si>
  <si>
    <t>Double efficiency of remaining trucking</t>
  </si>
  <si>
    <t>Trucking total</t>
  </si>
  <si>
    <t>Reducitons in Material Intenstiy Save half of industrial energy</t>
  </si>
  <si>
    <t>We save another 30% through efficiency improvements</t>
  </si>
  <si>
    <t>We convert 80% of this to electriicity</t>
  </si>
  <si>
    <t>We use 2 quads of feed stocks</t>
  </si>
  <si>
    <t>total industry</t>
  </si>
  <si>
    <t>Assume 95% of auto, light truck, motor cycle and transit are electrified: that leaves</t>
  </si>
  <si>
    <t>Intercity - unchanged (already efficient)</t>
  </si>
  <si>
    <t>School bus (increased efficiency)</t>
  </si>
  <si>
    <t>Constuction and Agricultture</t>
  </si>
  <si>
    <t>Can be improved in efficiency, some electrified</t>
  </si>
  <si>
    <t>Commuter and Transit rail electrify completely</t>
  </si>
  <si>
    <t>Water recreationg</t>
  </si>
  <si>
    <t>Cut in half - recreational boaters and cruise ships can use more sails, solar replace boats with more efficient ones</t>
  </si>
  <si>
    <t>Pipelines - reduce by 90%+</t>
  </si>
  <si>
    <t>That leaves for air travel</t>
  </si>
  <si>
    <t>Current air travel</t>
  </si>
  <si>
    <t>Therefore, it is a conservative assumption that average payback will be five years or less if productivity gains are included, probably a pessimistic one. Similarly, a seventy- percent or more savings at this payback rate is most likely pessimistic. Again, it is pessimistic not in terms of what is usually done (which it greatly exceeds), but in terms of what it is possible to do.</t>
  </si>
  <si>
    <t>Given a 70% energy savings, a productivity gain at least equal in value to that savings, and a five year simple payback, and a 6.5% discount rate, this means we can pay ~2.84 times current cost for the remaining energy used and still break even.</t>
  </si>
  <si>
    <t>[241]Amory B. Lovins and William D. Browning, Negawatts for Buildings, Jul/1992). 15/Nov 2000. Urban Land Institute, 21/Jan/2004 &lt;http://www.rmi.org/images/other/GDS-Negawatts4Bldgs.pdf&gt;.pp4-5</t>
  </si>
  <si>
    <t>[242] Sarah Goorskey, Andy Smith, and Katherine Wang, Home Energy Briefs #7 - Electronics, 2004). 3/Dec 2004. Rocky Mountain Institute, 20/Aug/2005 &lt;http://www.rmi.org/images/other/Energy/E04-17_HEB7Electronics.pdf&gt;.p3.</t>
  </si>
  <si>
    <t>[243]Mark Palmer and Alicia Mariscal, Green Buildings and Worker Productivity: A Review of the Literature, Aug 2001). Aug 2001. San Francisco Department of the Environment, 22/Aug/2005 &lt;http://www.sfenvironment.com/aboutus/innovative/greenbldg/gb_productivity.pdf&gt;.</t>
  </si>
  <si>
    <t>[244]Gregory H. Kats, Green Building Costs and Financial Benefits. October 2003. Massachusetts Technology Collaborative State Development Agency for Renewable Energy and the Innovation Economy., 23/Jan/2004 &lt; http://www.mtpc.org/RenewableEnergy/green_buildings/GreenBuildingspaper.pdf&gt;.p6.</t>
  </si>
  <si>
    <t>[245]Gregory H. Kats et al., The Costs and Financial Benefits of Green Buildings: A Report to California’s Sustainable Building Task Force, Oct 2003). Oct 2003. California Sustainable Building Task Force, 29/Jan/2004 &lt; http://www.usgbc.org/Docs/News/News477.pdf&gt;.p ix.</t>
  </si>
  <si>
    <t>Estimated payback costs for various scenarios</t>
  </si>
  <si>
    <r>
      <t xml:space="preserve">Paul Hawken, Amory Lovins, and L.Hunter Lovins, </t>
    </r>
    <r>
      <rPr>
        <i/>
        <sz val="10"/>
        <rFont val="Times New Roman"/>
        <family val="1"/>
      </rPr>
      <t>Natural Capitalism: Creating the Next Industrial Revolution</t>
    </r>
    <r>
      <rPr>
        <sz val="10"/>
        <rFont val="Times New Roman"/>
        <family val="1"/>
      </rPr>
      <t xml:space="preserve"> (Boston: Little, Brown and Company/Back Bay, 2000).</t>
    </r>
  </si>
  <si>
    <t>Chapter 5:Building Blocks. p103.</t>
  </si>
  <si>
    <t>[218]U.S. Department of Energy - Energy Information Administration, "2001 Consumption and Expenditures Tables - Total  Energy Consumption," A Look at Residential Energy Consumption in 2001. 23/October 2003, 23/Dec/2003 &lt;ftp://ftp.eia.doe.gov/pub/consumption/residential/2001ce_tables/enduse_consump.pdf&gt;.</t>
  </si>
  <si>
    <t>Table CE1-9c. Total Energy Consumption in U.S. Households by Northeast Census Region, 2001 - Preliminary Data</t>
  </si>
  <si>
    <r>
      <t xml:space="preserve">U.S. Department of Energy - Energy Information Administration, "2001 Consumption and Expenditures Tables - Water-Heating Consumption Tables," </t>
    </r>
    <r>
      <rPr>
        <i/>
        <sz val="10"/>
        <rFont val="Times New Roman"/>
        <family val="1"/>
      </rPr>
      <t>A Look at Residential Energy Consumption in 2001</t>
    </r>
    <r>
      <rPr>
        <sz val="10"/>
        <rFont val="Times New Roman"/>
        <family val="1"/>
      </rPr>
      <t>. 23/October 2003, 23/Dec/2003 &lt;ftp://ftp.eia.doe.gov/pub/consumption/residential/2001ce_tables/waterheat_consump.pdf&gt;.</t>
    </r>
  </si>
  <si>
    <t>Table CE4-9c. Water-Heating Energy Consumption in U.S. Households by Northeast Census Region, 2001 - Preliminary</t>
  </si>
  <si>
    <t>[219]U.S. Department of Energy - Energy Information Administration, "2001 Consumption and Expenditures Tables - Water-Heating Expenditures," A Look at Residential Energy Consumption in 2001. 23/October 2003, 23/Dec/2003 &lt;ftp://ftp.eia.doe.gov/pub/consumption/residential/2001ce_tables/waterheat_expend.pdf&gt;</t>
  </si>
  <si>
    <t>Table CE4-9e. Water-Heating Energy Expenditures in U.S. Households by Northeast Census Region, 2001 - Preliminary Data</t>
  </si>
  <si>
    <t>Table CE4-10e. Water-Heating Energy Expenditures in U.S. Households by Midwest Census Region, 2001 - Preliminary Data</t>
  </si>
  <si>
    <r>
      <t>[220]</t>
    </r>
    <r>
      <rPr>
        <sz val="10"/>
        <rFont val="Times New Roman"/>
        <family val="1"/>
      </rPr>
      <t xml:space="preserve">U.S. Department of Labor Bureau of Labor Statistics, "Table 8. Region of Residence: Average Annual Expenditures and Characteristics," </t>
    </r>
    <r>
      <rPr>
        <i/>
        <sz val="10"/>
        <rFont val="Times New Roman"/>
        <family val="1"/>
      </rPr>
      <t>Consumer Expenditure Survey 2002</t>
    </r>
    <r>
      <rPr>
        <sz val="10"/>
        <rFont val="Times New Roman"/>
        <family val="1"/>
      </rPr>
      <t xml:space="preserve">. 13/Nov 2003. </t>
    </r>
    <r>
      <rPr>
        <i/>
        <sz val="10"/>
        <rFont val="Times New Roman"/>
        <family val="1"/>
      </rPr>
      <t>U.S. Department of Labor Bureau of Labor Statistics</t>
    </r>
    <r>
      <rPr>
        <sz val="10"/>
        <rFont val="Times New Roman"/>
        <family val="1"/>
      </rPr>
      <t>, 06/Jul/2005 &lt; http://www.bls.gov/cex/2002/Standard/region.pdf&gt;.</t>
    </r>
  </si>
  <si>
    <t>Table 8. Region of residence: Average annual expenditures and characteristics, Consumer Expenditure Survey, 2002</t>
  </si>
  <si>
    <t>[221]Whedon 0.5 GPM Ultra SaverAerator - US$3.50</t>
  </si>
  <si>
    <r>
      <t xml:space="preserve">Energy Federation Incorporated, </t>
    </r>
    <r>
      <rPr>
        <i/>
        <sz val="10"/>
        <rFont val="Times New Roman"/>
        <family val="1"/>
      </rPr>
      <t>EFI Internet Division Residential Catalogue | Bath Faucet Aerators</t>
    </r>
    <r>
      <rPr>
        <sz val="10"/>
        <rFont val="Times New Roman"/>
        <family val="1"/>
      </rPr>
      <t>. July 2005, Energy Federation Incorporated, 13/Jul/2005 &lt;http://www.energyfederation.org/consumer/default.php/cPath/27_52&gt;.</t>
    </r>
  </si>
  <si>
    <t>similar product to above for $2.15</t>
  </si>
  <si>
    <r>
      <t xml:space="preserve">Conserv-A-Store, </t>
    </r>
    <r>
      <rPr>
        <i/>
        <sz val="10"/>
        <rFont val="Times New Roman"/>
        <family val="1"/>
      </rPr>
      <t>Conserv-A-Store :: Recycling Supplies, Solar Lighting, Electrical, Plumbing &amp; Water Conservation Products-Economical &amp; Eco-Friendly!  Part Number: 01-0104</t>
    </r>
    <r>
      <rPr>
        <sz val="10"/>
        <rFont val="Times New Roman"/>
        <family val="1"/>
      </rPr>
      <t>. July 2005, Conserv-A-Store, 13/Jul/2005 &lt;http://www.conservastore.com/productdetail.php?p=23&gt;.</t>
    </r>
  </si>
  <si>
    <t>[222]Conserv-A-Store, Conserv-A-Store :: Recycling Supplies, Solar Lighting, Electrical, Plumbing &amp; Water Conservation Products-Economical &amp; Eco-Friendly!. July 2005, Conserv-A-Store, 13/Jul/2005 &lt;http://www.conservastore.com/index_plumbing.htm&gt;.</t>
  </si>
  <si>
    <t>[223]According to the Handyman Club the Stepflow Kick Pedal should be discounted to $129</t>
  </si>
  <si>
    <r>
      <t xml:space="preserve">Tom Sweeney, </t>
    </r>
    <r>
      <rPr>
        <i/>
        <sz val="10"/>
        <rFont val="Times New Roman"/>
        <family val="1"/>
      </rPr>
      <t>Handyman  Club  of America - Hands Free - Pedal Valve Makes Sink Faucets Convenient and Clean</t>
    </r>
    <r>
      <rPr>
        <sz val="10"/>
        <rFont val="Times New Roman"/>
        <family val="1"/>
      </rPr>
      <t>. February 1999, Handyman  Club of America (Publishers of Handy Magazine), 13/Jul/2005 &lt;http://www.handymanclub.com/document.asp?cID=57&amp;dID=777&gt;.</t>
    </r>
  </si>
  <si>
    <t>And here it is on-line for $120.00 with shipping and such probably around $129 .</t>
  </si>
  <si>
    <r>
      <t xml:space="preserve">Professional Piercing Information Systems, </t>
    </r>
    <r>
      <rPr>
        <i/>
        <sz val="10"/>
        <rFont val="Times New Roman"/>
        <family val="1"/>
      </rPr>
      <t>Products: Step-Flow Operated Sink Valve</t>
    </r>
    <r>
      <rPr>
        <sz val="10"/>
        <rFont val="Times New Roman"/>
        <family val="1"/>
      </rPr>
      <t>. 16/June 2005, Professional Piercing Information Systems, 13/Jul/2005 &lt;http://www.propiercing.com/products.html&gt;.</t>
    </r>
  </si>
  <si>
    <t>[224]Priced at $27.00 without shipping at sustainable village. Assuming six bucks in shipping charges total of $60. Since sustainable village ships this only to developing nations, I've given the URL of manufacturer who should be able to tell where we in the U.S. can actually buy it.</t>
  </si>
  <si>
    <t xml:space="preserve">For ground transportation, the main savings is via electrification of cars, increased mass transit, and switching from trucks to freight trains, plus electrification of freight trains on the most heavily used routes.  </t>
  </si>
  <si>
    <t>Energy Conversion Devices, Inc., Energy Conversion Devices, Inc. 1997 Letter to Stockholders -Commercializing Technologies That Enable the Information and Energy Industries. Dec 1997, Energy Conversion Devices, Inc., 26/Sep/2005 &lt;http://www.ovonic.com/PDFs/LtrstoShldrs/ecd97ltr.pdf&gt;.p3.</t>
  </si>
  <si>
    <t>http://www.ovonic.com/PDFs/LtrstoShldrs/ecd97ltr.pdf</t>
  </si>
  <si>
    <t>Solectria Sunrise</t>
  </si>
  <si>
    <t>http://www.think.no/think/content/view/full/384</t>
  </si>
  <si>
    <t>MPG (e)</t>
  </si>
  <si>
    <t>Think City  -105 mile range 28.3 kWh 2 seats</t>
  </si>
  <si>
    <t>$25,000 price pioint</t>
  </si>
  <si>
    <t>http://www.autobloggreen.com/2008/04/21/vc-firms-bet-on-th-nk/</t>
  </si>
  <si>
    <t>TRIAC 2 seater</t>
  </si>
  <si>
    <t>http://www.greenvehicles.com/</t>
  </si>
  <si>
    <t>$20,000 100 mile range</t>
  </si>
  <si>
    <t>http://gadgets.elliottback.com/2008/05/14/green-vehicles-triac-available-for-preorder/</t>
  </si>
  <si>
    <t>http://www.greenvehicles.com/specs/triac.html</t>
  </si>
  <si>
    <t>144 vol 160 amp hours  23 kwh 100 mile range</t>
  </si>
  <si>
    <t>210 miles on 80% of 240 mile = 210 miles on  23 kWh</t>
  </si>
  <si>
    <t>MPG(e)</t>
  </si>
  <si>
    <t>http://www.teslamotors.com/efficiency/charging_and_batteries.php</t>
  </si>
  <si>
    <t>Tesla Motors 2 Seater  Sports car 220 miles on charge</t>
  </si>
  <si>
    <t>http://www.teslamotors.com/buy/resyourcar.php</t>
  </si>
  <si>
    <t>53 kWh</t>
  </si>
  <si>
    <t>http://www.teslamotors.com/blog4/?p=64</t>
  </si>
  <si>
    <t>Automobiles</t>
  </si>
  <si>
    <t xml:space="preserve"> p2-19. Table 2.14 - Intercity Freight Movement and Energy in the United States, 2000</t>
  </si>
  <si>
    <t>Stacey C. Davis and Susan W. Diegel, TRANSPORTATION ENERGY DATA BOOK: - Edition 22, ORNL-6967   (Edition 22 of ORNL-5198). Sep 2002. Center for Transportation Analysis Science and Technology  Division of the Oak Ridge National Laboratory for the U.S. DOE, 23/Sep/2005 &lt; www-cta.ornl.gov/cta/Publications/Reports/ORNL-6967.pdf &gt;.</t>
  </si>
  <si>
    <t>www-cta.ornl.gov/cta/Publications/Reports/ORNL-6967.pdf</t>
  </si>
  <si>
    <t>Modal Efficiency</t>
  </si>
  <si>
    <t>Electrification Affect on Freight Train Effficiency</t>
  </si>
  <si>
    <t>At least double - 17 to 1 to 21 to 1 compared to trucks</t>
  </si>
  <si>
    <t>http://hopeforthefuture.info/articles/erail.html</t>
  </si>
  <si>
    <t>Sky sails and other high sails could proivde between 10% and 35% of sjhipping energy</t>
  </si>
  <si>
    <t>http://skysails.info/index.php?L=1</t>
  </si>
  <si>
    <t>Install sink aerators high efficiency showerheads, and thoroughly check any plumbing for leaks, repairing any that are found. Install heat recovery systems that use hot water from hot water going down the drain to pre-heat water entering the water heater.  Replace other water appliances with high efficiency versions - hot water heaters (replaced with demand water heaters, or highly insulated storage water heaters), washing machines, and dishwashing machines. Replace oldest first to so that they are as amortized as possible before replacements.  (If funded by a tax credit or rebate program for example, apply the credit or rebate to appliances over ten years old.)</t>
  </si>
  <si>
    <t>But of course current air travel puts out about 3X the emissions its fuel use would suggest Can cut in half by</t>
  </si>
  <si>
    <t>flying low, but still brings total above 5%. In short air travel reamins one of the areas we have to cut for emissions sake</t>
  </si>
  <si>
    <t>Oil prices may drive prices up enough to do this anyway.</t>
  </si>
  <si>
    <t>For the extremely aggressive version costs could be around $20,000 or more for a single family home, but more like $15,000 or less per unit for multi-unit homes because of smaller square footage and shared walls and economies of scale. Modular homes/mobile homes/trailers would be in between - smaller square footage, but no shared walls. Instead of attic insulation, trailers with flat roofs could have foam roofs installed.</t>
  </si>
  <si>
    <t>For the less aggressive version, I'm assuming $6,000 to $12,000 per residence.</t>
  </si>
  <si>
    <t>In new residences the cost of 90% rather than 80% efficiency improvements can range from 5% of construction costs to negative. (The latter sometimes happens due to savings in the size of climate control equipment, and using forms of insulation that double as weather sealing and structural material.)</t>
  </si>
  <si>
    <t>http://www.nohairshirts.com/chap17.php</t>
  </si>
  <si>
    <r>
      <t xml:space="preserve">Jürgen Schnieders, </t>
    </r>
    <r>
      <rPr>
        <i/>
        <sz val="10"/>
        <rFont val="Times New Roman"/>
        <family val="1"/>
      </rPr>
      <t>CEPHEUS - Measurement Results from More Than 100 Dwelling Units in Passive Houses</t>
    </r>
    <r>
      <rPr>
        <sz val="10"/>
        <rFont val="Times New Roman"/>
        <family val="1"/>
      </rPr>
      <t xml:space="preserve">. May 2003. </t>
    </r>
    <r>
      <rPr>
        <i/>
        <sz val="10"/>
        <rFont val="Times New Roman"/>
        <family val="1"/>
      </rPr>
      <t>Passive House Institute</t>
    </r>
    <r>
      <rPr>
        <sz val="10"/>
        <rFont val="Times New Roman"/>
        <family val="1"/>
      </rPr>
      <t>, 23/Dec/2003 &lt;http://www.passiv.de/07_eng/news/CEPHEUS_ECEEE.pdf&gt;.</t>
    </r>
  </si>
  <si>
    <t>(Note: he documented an 80% reduction compared to German standards. But Germans use about half the energy per capita as the U.S.</t>
  </si>
  <si>
    <r>
      <t xml:space="preserve">States Census Bureau, "Section 19 - Energy and Utilities," </t>
    </r>
    <r>
      <rPr>
        <i/>
        <sz val="10"/>
        <rFont val="Times New Roman"/>
        <family val="1"/>
      </rPr>
      <t>Statistical Abstract of the United States 2002</t>
    </r>
    <r>
      <rPr>
        <sz val="10"/>
        <rFont val="Times New Roman"/>
        <family val="1"/>
      </rPr>
      <t xml:space="preserve">. December 2002. </t>
    </r>
    <r>
      <rPr>
        <i/>
        <sz val="10"/>
        <rFont val="Times New Roman"/>
        <family val="1"/>
      </rPr>
      <t>United States Census Bureau</t>
    </r>
    <r>
      <rPr>
        <sz val="10"/>
        <rFont val="Times New Roman"/>
        <family val="1"/>
      </rPr>
      <t xml:space="preserve"> &lt;http://www.census.gov/prod/2003pubs/02statab/energy.pdf&gt;.p</t>
    </r>
    <r>
      <rPr>
        <sz val="10"/>
        <color indexed="8"/>
        <rFont val="Times New Roman"/>
        <family val="1"/>
      </rPr>
      <t>847</t>
    </r>
  </si>
  <si>
    <r>
      <t>Table No. 1350. Energy Consumption and Production by Country: 1990 and 2000</t>
    </r>
    <r>
      <rPr>
        <sz val="10"/>
        <rFont val="Times New Roman"/>
        <family val="1"/>
      </rPr>
      <t xml:space="preserve"> </t>
    </r>
  </si>
  <si>
    <t xml:space="preserve">So this is a 90% savings, compared to U.S. standards. Actually it is a bit more, because the 80% savings compares to  tougher requirements for new German homes, not average use. </t>
  </si>
  <si>
    <t xml:space="preserve">[214]U.S. Department of Energy - Energy Information Administration, "2001 Consumption and Expenditures Tables - Space-Heating Expenditures Tables," A Look at Residential Energy Consumption in 2001. 23/October 2003, 23/Dec/2003 &lt;ftp://ftp.eia.doe.gov/pub/consumption/residential/2001ce_tables/spaceheat_expend.pdf&gt; </t>
  </si>
  <si>
    <t>Table CE2-9e. Space-Heating Energy Expenditures in U.S. Households by Northeast Census Region, 2001 - Preliminary Data</t>
  </si>
  <si>
    <t xml:space="preserve">Table CE2-12e. Space-Heating Energy Expenditures in U.S. Households by West Census Region, 2001 - Preliminary Data </t>
  </si>
  <si>
    <r>
      <t xml:space="preserve">U.S. Department of Energy - Energy Information Administration, "2001 Consumption and Expenditures Tables - Electric Air-Conditioning Expenditures Tables," </t>
    </r>
    <r>
      <rPr>
        <i/>
        <sz val="10"/>
        <rFont val="Times New Roman"/>
        <family val="1"/>
      </rPr>
      <t>A Look at Residential Energy Consumption in 2001</t>
    </r>
    <r>
      <rPr>
        <sz val="10"/>
        <rFont val="Times New Roman"/>
        <family val="1"/>
      </rPr>
      <t>. 23/October 2003, 23/Dec/2003 &lt;ftp://ftp.eia.doe.gov/pub/consumption/residential/2001ce_tables/ac_expend.pdf&gt;.</t>
    </r>
  </si>
  <si>
    <t>Table CE3-9e. Electric Air-Conditioning Energy Expenditures in U.S. Households by Northeast Census Region, 2001 - Preliminary Data</t>
  </si>
  <si>
    <t>Table CE3-12e. Electric Air-Conditioning Energy Expenditures in U.S. Households by West Census Region, 2001 - Preliminary Data</t>
  </si>
  <si>
    <t>[215]Joe Wiehagen and Craig Drumhelle, Strategies for Energy Efficient Remodeling | Seer 2003 |Case Study Report, 2004). 30/Mar 2004. National Renewable Energy Laboratory, 1/Oct/2005 &lt;http://www.toolbase.org/docs/MainNav/Remodeling/4564_SEERCaseStudyReport.pdf&gt;.</t>
  </si>
  <si>
    <r>
      <t>[216]</t>
    </r>
    <r>
      <rPr>
        <sz val="10"/>
        <rFont val="Times New Roman"/>
        <family val="1"/>
      </rPr>
      <t xml:space="preserve"> Agence France-Presse, </t>
    </r>
    <r>
      <rPr>
        <i/>
        <sz val="10"/>
        <rFont val="Times New Roman"/>
        <family val="1"/>
      </rPr>
      <t>Thai Architect Hits on Blueprint for Sustainable Living in the Tropics</t>
    </r>
    <r>
      <rPr>
        <sz val="10"/>
        <rFont val="Times New Roman"/>
        <family val="1"/>
      </rPr>
      <t>. 28/September 2003, Terra  Daily, 06/Jul/2005 &lt;http://www.terradaily.com/2003/030928033742.6azaxajn.html&gt;.</t>
    </r>
  </si>
  <si>
    <r>
      <t xml:space="preserve">Maria Cheng and Julian Gearing, "Green Seeds,". </t>
    </r>
    <r>
      <rPr>
        <i/>
        <sz val="10"/>
        <rFont val="Times New Roman"/>
        <family val="1"/>
      </rPr>
      <t>Asia Week</t>
    </r>
    <r>
      <rPr>
        <sz val="10"/>
        <rFont val="Times New Roman"/>
        <family val="1"/>
      </rPr>
      <t xml:space="preserve"> 27-18 11/May 2001, Asia Week, 05/Jul/2005 &lt;http://www.asiaweek.com/asiaweek/magazine/nations/0,8782,108626,00.html&gt;.</t>
    </r>
  </si>
  <si>
    <t>[217]And according to Amory Lovins this was larger than he needed.</t>
  </si>
  <si>
    <t>Transmissions &amp; Smart Grid</t>
  </si>
  <si>
    <t>Transmission &amp; Smart Grid</t>
  </si>
  <si>
    <t>IF we can get more than three quads of biofuels sustainably with 95% or better net reductions in greenhouse gas emissions, then we have a huge margin</t>
  </si>
  <si>
    <t>Note that thereafter:</t>
  </si>
  <si>
    <t>We can finish electrifying freight.</t>
  </si>
  <si>
    <t>We can improve batteries to the point where cars and light trucks are 100% electric, maybe even to the point where short haul heavy trucks are 100% electric.</t>
  </si>
  <si>
    <t>We can completely electriy all construction and agriculatural equipment</t>
  </si>
  <si>
    <t>Hydrogene technology may advance to the point where it can be used in industry or ships, if it it is still not suitable for cars.</t>
  </si>
  <si>
    <t>If we get cheap electricty where we can afford large thermodynamic losses, hdyrogen may even become a reasonable way to store elecriity.</t>
  </si>
  <si>
    <t>Note that this can even be low net energy, if the energy input is low carbon variable wind electricity, and the output is fuel.</t>
  </si>
  <si>
    <t>Renewables</t>
  </si>
  <si>
    <t>I concentrate mainly on solar and wind, because worldwide, that is where most renewable potential that can be developed with currently commercial technology is. Most of the hydro that can be developed worldwide already has been. Most of what is left is in environmentally sensitive areas, and also are home to people whose way of life will be destroyed by new dams.  Geothermal has huge potential with very minor breakthroughs, but with today's technology you can't get more than a tiny percent of our energy demand, more like a silver coating on a silver bb than an entire silver bb.</t>
  </si>
  <si>
    <t xml:space="preserve"> </t>
  </si>
  <si>
    <t>Wind is going to mostly be large wind farms, because small wind power from small wind farms or single turbines is more expensive per kWh.  Small turbines are more expensive per KW of peak power. They are even more expensive per kWh since often these smaller turbines use lower percentages of their capacity. Also large wind farms have maintenance advantages, because they have enough machines to justify full time maintenance staffs. Wind is the least expensive form of renewable electricity. If you get it from multiple sources in multiple major climate zones connected by High Voltage D.C. lines, less than 3 hours storage (compared to peak capacity) can let it provide up 95% of your power.</t>
  </si>
  <si>
    <t>Solar electricity is going to be mostly concentrating solar power (CSP) because you can store heat more cheaply than electricity. Small heat engines are generally maintenance nightmares, especially Stirling engines, so CSP will probably mostly be large solar plants driving large (or at least medium) steam engines.  CSP has two disadvantages compared to wind. It is more expensive per kWh to produce, and since most of it is produced during the peak five daily hours of sunlight, it needs 16-24 hours of storage rather than three hours of storage wind needs to provide base power. However it has the advantage that this storage costs much less per kWh than wind - $40 per kWh for solar compared to $150-$350 per kWh to store electricity.</t>
  </si>
  <si>
    <t>During normal years, solar, wind, hydro and geothermal plus storage provide nearly 100% of electricity (with a 30% surplus discarded or sold at rates close to zero to anyone willing to make use of intermittent surplus electricity). Natural gas will provide a little over a tenth of a percent during such years. During years with volcanic activity and wind drought, natural gas will supply a higher percent of total electricity.  So over the long run we assume natural gas supplying about 1% of electricity.</t>
  </si>
  <si>
    <r>
      <t xml:space="preserve">Sustainable Village, </t>
    </r>
    <r>
      <rPr>
        <i/>
        <sz val="10"/>
        <rFont val="Times New Roman"/>
        <family val="1"/>
      </rPr>
      <t>Sustainable Village - Products - Aqua Helix</t>
    </r>
    <r>
      <rPr>
        <sz val="10"/>
        <rFont val="Times New Roman"/>
        <family val="1"/>
      </rPr>
      <t>. 2005, Sustainable Village, 13/Jul/2005 &lt;http://www.thesustainablevillage.com/servlet/display/product/detail/22602&gt;.</t>
    </r>
  </si>
  <si>
    <r>
      <t xml:space="preserve">Jet Blast Industrial Services, </t>
    </r>
    <r>
      <rPr>
        <i/>
        <sz val="10"/>
        <rFont val="Times New Roman"/>
        <family val="1"/>
      </rPr>
      <t>Aqua Helix Home</t>
    </r>
    <r>
      <rPr>
        <sz val="10"/>
        <rFont val="Times New Roman"/>
        <family val="1"/>
      </rPr>
      <t>. 18/Feb 1999, Jet Blast Industrial Services, 13/Jul/2005 &lt;http://www.jetblast.net/ahhome.html&gt;.</t>
    </r>
  </si>
  <si>
    <t>[225]Microphor LF-210 $539.00</t>
  </si>
  <si>
    <r>
      <t xml:space="preserve">Dean Petrich, </t>
    </r>
    <r>
      <rPr>
        <i/>
        <sz val="10"/>
        <rFont val="Times New Roman"/>
        <family val="1"/>
      </rPr>
      <t>Toilet Prices</t>
    </r>
    <r>
      <rPr>
        <sz val="10"/>
        <rFont val="Times New Roman"/>
        <family val="1"/>
      </rPr>
      <t>. 16/July 2005, Ultra-Low Water-Flush toilets, Aqua Alternatives, 20/Jul/2005 &lt;http://www.enviroalternatives.com/toiletprices.html#ULTRA-LOW%20WATER-FLUSH&gt;.</t>
    </r>
  </si>
  <si>
    <t>[226]WaterFilm Energy Inc., GFX 40% Off. GFX Heat Exchanger, 25/May 2005, WaterFilm Energy Inc., 20/Jul/2005 &lt; http://www.gfxtechnology.com/sale.html&gt;.</t>
  </si>
  <si>
    <r>
      <t xml:space="preserve">Carmine Dr. Vasile, </t>
    </r>
    <r>
      <rPr>
        <i/>
        <sz val="10"/>
        <rFont val="Times New Roman"/>
        <family val="1"/>
      </rPr>
      <t>International Data on Successfully Demonstrated Energy Efficiency Projects - Residential Waste Water Heat-Recovery System: GFX</t>
    </r>
    <r>
      <rPr>
        <sz val="10"/>
        <rFont val="Times New Roman"/>
        <family val="1"/>
      </rPr>
      <t>. April 2000, Centre for the Analysis and Dissemination of Demonstrated Energy Technologies, 20/Jul/2005 &lt;http://gfxtechnology.com/CADDET.PDF&gt;.</t>
    </r>
  </si>
  <si>
    <t>Note where showers are not the main hot water consumer in the household storage recovery systems are available in the same price range:</t>
  </si>
  <si>
    <r>
      <t xml:space="preserve">National Association of Home Builders Research Center, </t>
    </r>
    <r>
      <rPr>
        <i/>
        <sz val="10"/>
        <rFont val="Times New Roman"/>
        <family val="1"/>
      </rPr>
      <t>Drainwater Heat Recovery</t>
    </r>
    <r>
      <rPr>
        <sz val="10"/>
        <rFont val="Times New Roman"/>
        <family val="1"/>
      </rPr>
      <t>. 2004, National Association of Home Builders Research Center, 08/Aug/2005 &lt;http://www.toolbase.org/tertiaryT.asp?DocumentID=2134&amp;CategoryID=1402&gt;.</t>
    </r>
  </si>
  <si>
    <t xml:space="preserve">[227]EnergyStar Dishwasher product rating - in this case 85% better than average new model (so divide by 185). </t>
  </si>
  <si>
    <t>(Note: this does not quite double efficiency of what is currently for sale, which means it is probably double or better that currently in use - but we will use EnergyStar rating as conservative estimate of savings)</t>
  </si>
  <si>
    <r>
      <t xml:space="preserve">Energy Star Program of the EPA and  DOE, </t>
    </r>
    <r>
      <rPr>
        <i/>
        <sz val="10"/>
        <rFont val="Times New Roman"/>
        <family val="1"/>
      </rPr>
      <t>Energy Star Qualified Dishwashers</t>
    </r>
    <r>
      <rPr>
        <sz val="10"/>
        <rFont val="Times New Roman"/>
        <family val="1"/>
      </rPr>
      <t>, List of Energy Star Dishwashers with Efficiency Ratings. 14/June 2004, Energy Start Program of the EPA and  DOE, 10/Jul/2005 &lt;http://www.energystar.gov/ia/products/prod_lists/dishwash_prod_list.pdf&gt;.p1</t>
    </r>
  </si>
  <si>
    <t>[228]Average Energystar &amp; regular appliance prices 2000</t>
  </si>
  <si>
    <r>
      <t xml:space="preserve">The NPD Group, Inc., </t>
    </r>
    <r>
      <rPr>
        <i/>
        <sz val="10"/>
        <rFont val="Times New Roman"/>
        <family val="1"/>
      </rPr>
      <t>NPD INTELECT REPORTS SIGNIFICANT GROWTH FOR ENERGY-EFFICIENT APPLIANCES</t>
    </r>
    <r>
      <rPr>
        <sz val="10"/>
        <rFont val="Times New Roman"/>
        <family val="1"/>
      </rPr>
      <t>. Average  Appliance Prices: Energystar Vs. Non-Energystar, 18/October 2000, The NPD Group, Inc., 10/Jul/2005 &lt; http://www.npd.com/press/releases/press_001018.htm&gt;.</t>
    </r>
  </si>
  <si>
    <t>(Note: A market survey is a legitimate source for pricing information).</t>
  </si>
  <si>
    <t>[229]ASKO, D3350. 204, ASKO, 05/Jul/2005 &lt;http://www.asko.se/ASKO/brandsite/main.cfm?moduleID=10&amp;productID=2814#&gt;.</t>
  </si>
  <si>
    <t>[230]Universal Appliance and Kitchen  Center, 24" ASKO Dishwasher, D3121. Quote July 10 for Asko D3121, July 2005, Universal Appliance and Kitchen   Center, 10/Jul/2005 &lt;http://store.universal-akb.net/24asdid3.html&gt;.  (Note this was for a particular day – the key is that you can get a dishwasher that consumes around  250 kWh per year for around $333 more than a non-Energy Star model.)</t>
  </si>
  <si>
    <t>[231]Liz Madison, Kitchen Tools, Kitchen Electrics, Cookware, Tableware - LizMadison.Com -GWL11. GWL11 Clothes Washer, July 2005, Liz Madison, 10/Ju &lt;http://www.lizmadison.com/housewares/Product.asp_X_SKU_Y_GWL11_Z_REF_Y_SHLIZ&gt;.</t>
  </si>
  <si>
    <t>No doubt the particular page will have expired by the time you read this. The main point is that you can get a washing machine that saves nearly 80% of the energy a non-Energy Star model would use for about $220 more.</t>
  </si>
  <si>
    <t>[232]Energy Star Program of the EPA and  DOE, ENERGY STAR® Qualified Clothes Washers, ENERGY STAR® Qualified Clothes Washers with Effiiciencies and Projected Yearly KWh Consumption. 21/June 2004. Energy Star Program of the EPA and  DOE, 11/Jul/2005 &lt;http://www.energystar.gov/ia/products/prod_lists/clotheswash_prod_list.pdf&gt;.</t>
  </si>
  <si>
    <t>(Again this rates against average new available, so efficiency compared to installed home clothes washers is probably slightly better.)</t>
  </si>
  <si>
    <t>Alan Drake of the Oil Drum has made some interesting estimates of what it could cost to completrely upgrade our rail system. His point is that we could electrify about 65,000 miles of our 178,000 miles sytem, and add some other improvements - and end up moving freight fast enough to compete with most long distance trucking, because the key miles he electrified and some of the additional track he proposes and other improvements he suggest would speeed up most of the routes over which freight would move. He estimates a total cost of 400 billion dollars. Freight uses 1/8th the energy of trucks (on average) to move freight. Electrification would at least double this efficiency, where locomotives ran off wires rather than hybrid diesel engines.  Incidentally, electrifying more than one third of rail tract would electricfy more than 80% of freight tons.</t>
  </si>
  <si>
    <t>Oil and Coal account for about half of ton-miles shipped by water</t>
  </si>
  <si>
    <t>Transporation Energy Data  Book (Above)</t>
  </si>
  <si>
    <t>p12-6 Table 12.5 - Breakdown of Domestic Marine Cargo by Commodity Class, 2000</t>
  </si>
  <si>
    <t>Marine Policy: Shipping and Ports</t>
  </si>
  <si>
    <t>Hauke L. Kite-Powell, Marine Policy Center, Woods Hole Oceanographic Institution, Mail Stop #41, Woods</t>
  </si>
  <si>
    <t>Hole, Massachusetts 02543 USA</t>
  </si>
  <si>
    <t>citation: J. Steele et al., eds., Encyclopedia of Marine Science, Academic Press, 2001, pp. 2768-76.</t>
  </si>
  <si>
    <t>http://www.whoi.edu/science/MPC/dept/meetings/Luce_presentations/shipping%20and%20ports.pdf</t>
  </si>
  <si>
    <t>(Domestic)</t>
  </si>
  <si>
    <t>Oil comparable internationally</t>
  </si>
  <si>
    <t>Table 1: World seaborne dry cargo and tanker trade volume, million tons, 1950-1998.</t>
  </si>
  <si>
    <t>A second argument is lower stress. Well the jam packing I mentioned puts back a lot of that stress to begin with.  But there is also a multiplication of stress points. If you leave five minutes late for work in a car odds are we will be five minutes late. (OK you may hit unexpected traffic and roadwork, but that is probably already included in the definition of leaving on time.)   Just miss your bus or train by five minutes, if you are lucky another one will be along in ten or fifteen minutes. On most routes at most times, that delay will be more like twenty to forty minutes. (And is some systems it can be an hour or an hour and a half.) But even once you are in transit this particular type of stress is not over. Most transit trips involve transfers. So regardless of whether you are on time, you have to worry about whether you make your transfer point on time. Miss that by five minutes and you have another possible long delay. Between being packed like sardines, and problems with transfers, it is no wonder recent studies show transit riders suffer more stress than drivers.</t>
  </si>
  <si>
    <t>See supplementary detail tab</t>
  </si>
  <si>
    <t>Most of the cost of commuter rail is track, guideways and stations. If you can cut each 80 passenger train car into four twenty passenger train cars or eight ten passenger cars (following one after the other) you reduce the weight your track has to bear, and the peak voltage your lines need to carry.  The increased costs of cars is trivial compared to the savings, especially since various savings in making smaller cars ensure you don't increase vehicle cost per seat much if at all. However this kind of car shrinkage multiplies your operating cost, the number of drivers by four to eight times, and more than makes up for these capital savings.</t>
  </si>
  <si>
    <t>The idea behind ultralight rail therefore is to automate these small light trains, make them driverless and computer driven. That preserves the capital savings while also providing operation savings too. And of course the lighter cars also give you increased energy efficiency.</t>
  </si>
  <si>
    <t>But once you are using automated driverless light trains, there is no longer a reason to use fixed routes and schedules (except on heavily traveled lines during peak use). Instead let them run 24 hours a day, scheduling them as people buy tickets. Since vehicle costs are a small part of capital you can maintain enough slack in the number of cars available to make sure nobody ever has to wait more than five minutes from time of ticket purchase, and also make sure nobody ever has to stand.  With small light cars you can have all stations offline, and with automated scheduling you can optimize routes on the fly - fairly direct travel, few or no transfers. (And on the rare occasions there are transfers, you can make sure there is neither any danger of missing the transfer or of having to wait long for the connecting route.)</t>
  </si>
  <si>
    <t>In short, the time difference between auto and transit travel is less than with conventional transit, you really can (always) read the paper or play computer games, or nap or whatever on your trip, and transfers are rare and worry-free. You really can   compensate for slightly longer travel time with much lower stress! At the extreme this can be a Personal Rapid Transit system - essentially automated cars on rail. Most proposals are still mass transit (like the CyberTran system that typically has about 14 seats per car) - shared but automated and optimized light rail.</t>
  </si>
  <si>
    <t xml:space="preserve">What I'd really like is to see a CyberTran system replace most automobile traffic in the U.S. or at least replace it for the half of the population currently within a quarter mile of a bus stop. And it would pay for itself too, if it really cut automobile ownership, not just miles drastically - say by two thirds for so.  That might happen. Manhattan which has the best mass transit system in the U.S., has an automobile ownership rate about 1/3rd of the U.S. average.  (In fact the greater NY Metro area bus system is a prime candidate for having major routes replaced by CyberTran.)  But CyberTran is actually more expensive per seat than automobiles until you count things like parking spaces. So you have to actually reduce auto ownership not just use for it to pay for itself. </t>
  </si>
  <si>
    <t>CyberTran and UltraLight Rail</t>
  </si>
  <si>
    <t>Annual returns needed for 50 year payback (since it can last that long)</t>
  </si>
  <si>
    <t>However, to be conservative I'm suggesting only deploying 450 billion for light rail, and another 50 billion for electrifying buses either via wires or batteries</t>
  </si>
  <si>
    <t>See Cybertran Tab for discussion of both conventional and Cybertran Light rail</t>
  </si>
  <si>
    <t xml:space="preserve">For flying, while there are some efficiency improvements we can make around the edges, basically I'm assuming we will be doing a lot less of it. Oil prices may lead to this result regardless of what actions we take. </t>
  </si>
  <si>
    <t>We are eliminating most oil and gas pipeline transport due to drastic reductions in fossil fuel used. There are also tricks to increase the effiiciency of what remains</t>
  </si>
  <si>
    <t>CyberTran</t>
  </si>
  <si>
    <t>Note that these are over-optimisitc estimates of potential for the smart grid. They assume implementaition of maximum phyically possible potential without considering  feasiblity. These are maximums,</t>
  </si>
  <si>
    <t>total Low temp uses that can be time shifted in smart grid</t>
  </si>
  <si>
    <t>Total pecent of electricity consumption shiftable in smart grid  (assuming no increase in electrical consumption). Note that this is a maximum.. Because this is a percentage efficiency improvements don't change things. Plus, there is as much or more potential for efficiency improvments in low temperature heat as anywhere. Plus there is the potential for solar to reduce demand for low temperature heat. So even as a maximum, this is optimistic. Effcieincy improvements may REDUCE smartgird potential.</t>
  </si>
  <si>
    <t>Total electrical demand -higher than current grid, with a lot fewer low temp applications for demand shifting</t>
  </si>
  <si>
    <t>So in th is high efficiency scenario a smart grid supplies less flexibiltiy than it does in a low effciency one.</t>
  </si>
  <si>
    <t>It is routine and daily.</t>
  </si>
  <si>
    <t>Cooling a Fevered Planet - Technology</t>
  </si>
  <si>
    <t>Discusses the potential of the smart grid, and why it reduces, but does not elimiante the need for dispatchable electricity</t>
  </si>
  <si>
    <t>In industry I'm assuming efficiency improvements and electrification. A lot of industrial energy efficiency improvements will be life cycle improvements - making things last longer, making them out of less energy intensive materials, even rethinking the purposes of goods and services and finding alternative ways to perform the same functions.  There will also have to be rethinking of processes, alternative ways to produce goods that require a lot fewer delivered BTUS. Also as we will have to look for ways that electric processes can substitute for fuel based processes without compromising either energy efficiency or quality - for example electric arc furnaces for processing scrap metal compared to the BOF furnaces that were common decades ago.  (There is even some work that now allows an electric arc furnace with a bit of carbon added in the form of coal or charcoal to be used in processing raw ore.)  And of course we won't forget various ways of recycling industrial energy - combined heat and power, but also using waste heat from one industrial process to run another.</t>
  </si>
  <si>
    <t>Category</t>
  </si>
  <si>
    <t>heavy rail</t>
  </si>
  <si>
    <t>light rail</t>
  </si>
  <si>
    <t>electric cars</t>
  </si>
  <si>
    <t>Industrial</t>
  </si>
  <si>
    <t>http://www.theoildrum.com/node/3836/329791</t>
  </si>
  <si>
    <t>http://www.aar.org/PubCommon/Documents/natl_freight_capacity_study.pdf</t>
  </si>
  <si>
    <t>http://www.go21.org/PolicyIssueContent/BottomLineReport.aspx</t>
  </si>
  <si>
    <t>Sanity Check 1 - Railroad Study of cost to maintain existing frreight share 148 bllion</t>
  </si>
  <si>
    <t>Sanity Check 2 -Rail advocacy group study of cost of slight increase $225 billion</t>
  </si>
  <si>
    <t>Cost billions U.S. Dollars</t>
  </si>
  <si>
    <t>Commercial savings</t>
  </si>
  <si>
    <t>Assumes 6,000 added cost per car with 100 million cars made over next 30 years</t>
  </si>
  <si>
    <t>Electric short haul trucks and trolley buses</t>
  </si>
  <si>
    <t>http://advancedtransit.org/doc.aspx?id=1061</t>
  </si>
  <si>
    <t>cost per mile</t>
  </si>
  <si>
    <t>total</t>
  </si>
  <si>
    <t>see supporting Detail sheet</t>
  </si>
  <si>
    <t>kWh</t>
  </si>
  <si>
    <t>Air travel</t>
  </si>
  <si>
    <t>Ships converted to hybrid engines running on natural gas, supplemented by flying sail</t>
  </si>
  <si>
    <t>Assumes 50 billion trollely lines for buses plus 50 billion for added cost for trucks &amp; buses</t>
  </si>
  <si>
    <t>Commercial buildings have high enough demand and sufficient roof space that it may be profitable to put up solar heaters and chillers and then add ground source heat pumps for back up besides. At any rate we can do at least one. So ground source heat pumps or solar providing heat, air conditioning and hot water or a combination of both will be in addition to such rehabs. Because of economies of scale, including the fact that some technology used for commercial buildings is not even available on a small enough scale for most residential use, the cost of commercial savings are a lot lower than in residential upgrades.</t>
  </si>
  <si>
    <t>http://www.nohairshirts.com/chap18.php</t>
  </si>
  <si>
    <t>Examples</t>
  </si>
  <si>
    <r>
      <t>In cold dark Amsterdam, NDB (now ING) bank built an integrated, light, airy, lovely, sunlit, plant-filled building. It uses around 35,246 BTU per month</t>
    </r>
    <r>
      <rPr>
        <vertAlign val="superscript"/>
        <sz val="12"/>
        <rFont val="Times New Roman"/>
        <family val="1"/>
      </rPr>
      <t>[246]</t>
    </r>
    <r>
      <rPr>
        <sz val="12"/>
        <rFont val="Times New Roman"/>
        <family val="1"/>
      </rPr>
      <t>, compared to a U.S. average consumption of 119,500 BTU per commercial square foot in 2002</t>
    </r>
    <r>
      <rPr>
        <vertAlign val="superscript"/>
        <sz val="12"/>
        <rFont val="Times New Roman"/>
        <family val="1"/>
      </rPr>
      <t>[247]</t>
    </r>
    <r>
      <rPr>
        <sz val="12"/>
        <rFont val="Times New Roman"/>
        <family val="1"/>
      </rPr>
      <t xml:space="preserve">  Energy reductions alone saved the bank around $2.4 million U.S. dollars annually. The $700,000 additional investment the building cost over an average building its size in the Netherlands repaid costs within four months.  When NDB first moved into the building they saw absenteeism drop by ten percent as an additional bonus.</t>
    </r>
  </si>
  <si>
    <t>69% saving</t>
  </si>
  <si>
    <t>Anglia Polytechnic University (APU) Learning Resources Centre, ‘The Queen’s Building’, 41,842 BTU per square foot[248].  Net capital saving of £240,750 – before the first savings in operation.</t>
  </si>
  <si>
    <t>63% saving</t>
  </si>
  <si>
    <t>Leeds City Office Park 39,306 BTU per square foot[249]: £437,000 capital investment provides energy cost reductions of £72,603 per year</t>
  </si>
  <si>
    <t>66% saving</t>
  </si>
  <si>
    <t>Enschede tax office (Netherlands) 35,185 BTU per square foot - at an additional capital cost of 421,972 NLG[250]: annual saving 67,097 NLG.</t>
  </si>
  <si>
    <t>69|% saving</t>
  </si>
  <si>
    <t>Sukkertoppen office building, owned by Employees Capital Pension Fund. retrofit, rented commercially to small computer companies and educational organizations[251].  30,114 BTU per square foot; cost data proprietary, but successful commercial venture.</t>
  </si>
  <si>
    <t>74% saving</t>
  </si>
  <si>
    <t>Ridgehaven Office building renovation  City of San Diego Environmental Services Department.  27,296 BTU per square foot: simple payback rate of 30%.[252].</t>
  </si>
  <si>
    <t>76% saving</t>
  </si>
  <si>
    <t>[253]Bloomington, Illinois Amtrak passenger station, insulation, outdoor shading, passive solar heating, - 2.4- kilowatt rooftop solar array, efficient lighting. Simple five year payback of about $100,000 in costs</t>
  </si>
  <si>
    <t>75% saving</t>
  </si>
  <si>
    <r>
      <t>The Pennsylvania Department of Environmental Protection's Cambria Office less than 40,000 BTU per square foot</t>
    </r>
    <r>
      <rPr>
        <vertAlign val="superscript"/>
        <sz val="12"/>
        <rFont val="Times New Roman"/>
        <family val="1"/>
      </rPr>
      <t>[254]</t>
    </r>
    <r>
      <rPr>
        <sz val="12"/>
        <rFont val="Times New Roman"/>
        <family val="1"/>
      </rPr>
      <t>. Capital savings in climate control equipment paid for all or most of efficiency measures</t>
    </r>
    <r>
      <rPr>
        <vertAlign val="superscript"/>
        <sz val="12"/>
        <rFont val="Times New Roman"/>
        <family val="1"/>
      </rPr>
      <t>[255]</t>
    </r>
    <r>
      <rPr>
        <sz val="12"/>
        <rFont val="Times New Roman"/>
        <family val="1"/>
      </rPr>
      <t>. Costs/ft</t>
    </r>
    <r>
      <rPr>
        <vertAlign val="superscript"/>
        <sz val="12"/>
        <rFont val="Times New Roman"/>
        <family val="1"/>
      </rPr>
      <t xml:space="preserve">2 </t>
    </r>
    <r>
      <rPr>
        <sz val="12"/>
        <rFont val="Times New Roman"/>
        <family val="1"/>
      </rPr>
      <t>within normal range for area</t>
    </r>
    <r>
      <rPr>
        <vertAlign val="superscript"/>
        <sz val="12"/>
        <rFont val="Times New Roman"/>
        <family val="1"/>
      </rPr>
      <t>[256]</t>
    </r>
  </si>
  <si>
    <t>65% saving</t>
  </si>
  <si>
    <t xml:space="preserve">National Resources Defense council office on two floors of the already efficient American Association for the Advancement of Science in Washington D.C.  - already included efficient air conditioning system, and low-e windows operable windows that saved more than half of climate control energy. Buildout combined daylighting with low energy electric lighting systems, to save 75% of normal lighting bills[257].  A stairway between the two floors reduces elevator use; energy star office equipment saves computer costs. Green materials were used in construction as well. “Green premium” on order of $10 per square foot; energy savings combined with productivity increases should yield a four year payback or less. </t>
  </si>
  <si>
    <t>70% saving</t>
  </si>
  <si>
    <t xml:space="preserve">Again this is data mining; the examples are well executed new buildings and rehab projects with large secondary energy savings, and good economic rates of return. This would be meaningless in showing a trend. As a means of demonstrating that something is possible, this is a valid methodology.  </t>
  </si>
  <si>
    <t>kWh as percent total electrical consumption (including new electrical demand for electric vehicles)</t>
  </si>
  <si>
    <t>Table 1-32: U.S. Vehicle-Miles (Millions) - National Transportation Statistics 2008 U.S. Department of Transportation</t>
  </si>
  <si>
    <t>http://www.bts.gov/publications/national_transportation_statistics/pdf/entire.pdf</t>
  </si>
  <si>
    <t>Total vehicle miles traveled in cars &amp; light trucks 2005</t>
  </si>
  <si>
    <t>Freight fatalities per billion ton miles</t>
  </si>
  <si>
    <t>Rail</t>
  </si>
  <si>
    <t>Truck</t>
  </si>
  <si>
    <t>Rail as percentage of Truck</t>
  </si>
  <si>
    <t>http://www.aar.org/pubcommon/documents/govt/brown.pdf</t>
  </si>
  <si>
    <t>Page 7 - Exhibit 1</t>
  </si>
  <si>
    <t>The Value of Rail Intermodal to the U.S. Economy</t>
  </si>
  <si>
    <t>Thomas R. Brown, Anthony B. Hatch</t>
  </si>
  <si>
    <t>Incidents and Injuires per billion ton miles</t>
  </si>
  <si>
    <t>http://transit-safety.volpe.dot.gov/Data/samis/default.asp?ReportID=2</t>
  </si>
  <si>
    <t>Annual Report (Formerly SAMIS)</t>
  </si>
  <si>
    <t xml:space="preserve"> Transit Safety and Security Statistics and Analysis</t>
  </si>
  <si>
    <t>Transit Fatalities</t>
  </si>
  <si>
    <t>Commuter Rail</t>
  </si>
  <si>
    <t>Heavy Rail</t>
  </si>
  <si>
    <t>Light Rail</t>
  </si>
  <si>
    <t>Motor Bus</t>
  </si>
  <si>
    <t>http://transit-safety.volpe.dot.gov/Data/samis/default.asp?ReportID=11</t>
  </si>
  <si>
    <t>For Passenger Miles</t>
  </si>
  <si>
    <t>Auto and Light truck deaths</t>
  </si>
  <si>
    <t>http://www.nhtsa.gov/portal/nhtsa_static_file_downloader.jsp?file=/staticfiles/DOT/NHTSA/NCSA/Content/TSF/TSF2006FE.pdf</t>
  </si>
  <si>
    <t>2006 NATIONAL STATISTICS</t>
  </si>
  <si>
    <t>Fatalities per 100 Million Vehicle Miles Traveled . . . . . . . . . . . . . . . . . . . . . . . 1.41</t>
  </si>
  <si>
    <t>Economic Cost of Traffic Crashes (2000)</t>
  </si>
  <si>
    <t>(estimate for reported and unreported crashes) . . . . . . . . . . . . . . . . . . . . . . . . $230.6 billion</t>
  </si>
  <si>
    <t>Commerical Air conditions</t>
  </si>
  <si>
    <t>Process heat and power</t>
  </si>
  <si>
    <t>Percent sector</t>
  </si>
  <si>
    <t>Percent total</t>
  </si>
  <si>
    <t>http://www.bts.gov/publications/state_transportation_statistics/state_transportation_statistics_2006/html/table_01_08.html</t>
  </si>
  <si>
    <t>2004 U.S. bus route miles</t>
  </si>
  <si>
    <t>About half U.S. population has access to mass transit</t>
  </si>
  <si>
    <t>http://www.apta.com/government_affairs/aptatest/testimony070725.cfm</t>
  </si>
  <si>
    <t>also</t>
  </si>
  <si>
    <t>http://www.harbornet.com/sunflower/free.html</t>
  </si>
  <si>
    <t>Annual Energy Outlook 2008</t>
  </si>
  <si>
    <t>DOE/EIA-0383(2008)</t>
  </si>
  <si>
    <t>Low Economic Growth</t>
  </si>
  <si>
    <t xml:space="preserve"> Table   3.  Energy Prices by Sector and Source</t>
  </si>
  <si>
    <t>http://www.eia.doe.gov/oiaf/aeo/excel/aeolmtab_3.xls</t>
  </si>
  <si>
    <t>Energy Cost 2008 (low projection)</t>
  </si>
  <si>
    <t>Energy Economics Vol 29 Issue 4 July 2007 pp 889-912 Dolf Gielen &amp; Michael Taylor</t>
  </si>
  <si>
    <t>but rough estimates suggest that 15% is used as feedstock, 20% for</t>
  </si>
  <si>
    <t>process energy at temperatures above 400 °C, 15% for motor drive systems, 15% for steam at 100</t>
  </si>
  <si>
    <t>to 400 °C, 15% for low-temperature heat and 20% for other uses, such as lighting and transport</t>
  </si>
  <si>
    <t>page 893</t>
  </si>
  <si>
    <t>Residential climate control and hot water</t>
  </si>
  <si>
    <t>commercial climate control and hot water</t>
  </si>
  <si>
    <t>4% improvement in productivity - see detail</t>
  </si>
  <si>
    <t>Assumes 5,000 added cost for first 100 million sold, cost difference between electric and convetional drops to zero thereafter</t>
  </si>
  <si>
    <t>Industrial low temp process</t>
  </si>
  <si>
    <t>Water pollution reduction</t>
  </si>
  <si>
    <t>Agricultural crop losses</t>
  </si>
  <si>
    <t>Visibiltiy</t>
  </si>
  <si>
    <t>damage to buildings</t>
  </si>
  <si>
    <t>http://www.its.ucdavis.edu/publications/2004/UCD-ITS-RR-96-03(09)_rev1.pdf</t>
  </si>
  <si>
    <t>Health costs directly from vehicle tailpipe emissions</t>
  </si>
  <si>
    <t>TABLE 9-9. SUMMARY OF COST ESTIMATES</t>
  </si>
  <si>
    <t>A. THE NONMONETARY EXTERNAL COSTS OF MOTOR-VEHICLE USE, 1990-91 (109 1991$)</t>
  </si>
  <si>
    <t>SUMMARY OF THE NONMONETARY EXTERNALITIES OF MOTOR-VEHICLE USE</t>
  </si>
  <si>
    <t>Report #9 in the series: The Annualized Social Cost of Motor-Vehicle Use in the United States, based on 1990-1991 Data</t>
  </si>
  <si>
    <t>UCD-ITS-RR-96-3 (9) rev. 1</t>
  </si>
  <si>
    <t>Mark A. Delucchi</t>
  </si>
  <si>
    <t>Institute of Transportation Studies</t>
  </si>
  <si>
    <t>University of California</t>
  </si>
  <si>
    <t>Davis, California 95616</t>
  </si>
  <si>
    <t>Mid Range values</t>
  </si>
  <si>
    <t>human health from coal</t>
  </si>
  <si>
    <t>Air Pollution reduction</t>
  </si>
  <si>
    <t>http://www.vtpi.org/tca/tca0501.pdf</t>
  </si>
  <si>
    <t>Transportation Cost and Benefit analysis</t>
  </si>
  <si>
    <t>Victoria Transportation Institute</t>
  </si>
  <si>
    <t>Transit costs figures</t>
  </si>
  <si>
    <t>http://seattlepi.nwsource.com/national/216997_parking22.html</t>
  </si>
  <si>
    <t>he High Cost of Free Parking."</t>
  </si>
  <si>
    <t>2006 New &amp; Used Cars</t>
  </si>
  <si>
    <t>2006 New &amp; Used Trucks &amp; RVS</t>
  </si>
  <si>
    <t>Tires, tubes, accessories, and parts</t>
  </si>
  <si>
    <t>Repair &amp; Rental</t>
  </si>
  <si>
    <t>Table 3-13: Personal Consumption Expenditures on Transportation by Subcategory (Current $ millions)</t>
  </si>
  <si>
    <t>Page 220 (PDF reader dependent)</t>
  </si>
  <si>
    <t>National Transportation Statistics 2008</t>
  </si>
  <si>
    <t>U.S. Department of Transportation</t>
  </si>
  <si>
    <t>Research and Innovative Technology</t>
  </si>
  <si>
    <t>Administration</t>
  </si>
  <si>
    <t>Bureau of Transportation Statistics</t>
  </si>
  <si>
    <t>Add in refrigerationa and compressed air</t>
  </si>
  <si>
    <t>NTS total</t>
  </si>
  <si>
    <t>Add parking costs</t>
  </si>
  <si>
    <t>Mahattan with best public transit in U.S. and one of worst enviroments for car ownerhips has 1/3rd U.S. rate of automobile ownership'</t>
  </si>
  <si>
    <t>About 49% of U.S. population lives within a quarter mile of a public (non-school) bus stop</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</si>
</sst>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quot;$&quot;#,##0.00"/>
    <numFmt numFmtId="170" formatCode="#,##0.0000_);[Red]\(#,##0.0000\)"/>
    <numFmt numFmtId="171" formatCode="_(* #,##0.0_);_(* \(#,##0.0\);_(* &quot;-&quot;??_);_(@_)"/>
    <numFmt numFmtId="172" formatCode="_(* #,##0_);_(* \(#,##0\);_(* &quot;-&quot;??_);_(@_)"/>
    <numFmt numFmtId="173" formatCode="0.0000%"/>
    <numFmt numFmtId="174" formatCode="#,##0.0"/>
    <numFmt numFmtId="175" formatCode="0.00000000000000%"/>
    <numFmt numFmtId="176" formatCode="&quot;$&quot;#,##0.0_);[Red]\(&quot;$&quot;#,##0.0\)"/>
    <numFmt numFmtId="177" formatCode="0.0%"/>
    <numFmt numFmtId="178" formatCode="0.000000000000000%"/>
    <numFmt numFmtId="179" formatCode="_(&quot;$&quot;* #,##0.000_);_(&quot;$&quot;* \(#,##0.000\);_(&quot;$&quot;* &quot;-&quot;??_);_(@_)"/>
    <numFmt numFmtId="180" formatCode="_(&quot;$&quot;* #,##0.0000_);_(&quot;$&quot;* \(#,##0.0000\);_(&quot;$&quot;* &quot;-&quot;??_);_(@_)"/>
    <numFmt numFmtId="181" formatCode="_(&quot;$&quot;* #,##0.00000_);_(&quot;$&quot;* \(#,##0.00000\);_(&quot;$&quot;* &quot;-&quot;??_);_(@_)"/>
    <numFmt numFmtId="182" formatCode="&quot;$&quot;#,##0.000"/>
    <numFmt numFmtId="183" formatCode="#,##0.0000"/>
    <numFmt numFmtId="184" formatCode="&quot;$&quot;#,##0.0000"/>
    <numFmt numFmtId="185" formatCode="0.000%"/>
    <numFmt numFmtId="186" formatCode="0.00_)"/>
    <numFmt numFmtId="187" formatCode="0.000"/>
    <numFmt numFmtId="188" formatCode="0.00000"/>
    <numFmt numFmtId="189" formatCode="0.0000"/>
    <numFmt numFmtId="190" formatCode="0.000000"/>
    <numFmt numFmtId="191" formatCode="0.0"/>
  </numFmts>
  <fonts count="30">
    <font>
      <sz val="10"/>
      <name val="Arial"/>
      <family val="0"/>
    </font>
    <font>
      <sz val="8"/>
      <name val="Arial"/>
      <family val="0"/>
    </font>
    <font>
      <sz val="12"/>
      <name val="Times New Roman"/>
      <family val="1"/>
    </font>
    <font>
      <u val="single"/>
      <sz val="10"/>
      <color indexed="12"/>
      <name val="Arial"/>
      <family val="0"/>
    </font>
    <font>
      <sz val="10"/>
      <color indexed="8"/>
      <name val="Arial"/>
      <family val="0"/>
    </font>
    <font>
      <u val="single"/>
      <sz val="10"/>
      <color indexed="36"/>
      <name val="Arial"/>
      <family val="0"/>
    </font>
    <font>
      <i/>
      <sz val="10"/>
      <name val="Arial"/>
      <family val="2"/>
    </font>
    <font>
      <b/>
      <sz val="12"/>
      <name val="Arial"/>
      <family val="2"/>
    </font>
    <font>
      <sz val="12"/>
      <name val="Courier New"/>
      <family val="3"/>
    </font>
    <font>
      <b/>
      <sz val="12"/>
      <name val="Courier New"/>
      <family val="3"/>
    </font>
    <font>
      <b/>
      <sz val="10"/>
      <name val="Arial"/>
      <family val="0"/>
    </font>
    <font>
      <sz val="10"/>
      <name val="Times New Roman"/>
      <family val="1"/>
    </font>
    <font>
      <i/>
      <sz val="10"/>
      <name val="Times New Roman"/>
      <family val="1"/>
    </font>
    <font>
      <b/>
      <sz val="12"/>
      <name val="Times New Roman"/>
      <family val="1"/>
    </font>
    <font>
      <sz val="7"/>
      <name val="Times New Roman"/>
      <family val="1"/>
    </font>
    <font>
      <sz val="10"/>
      <color indexed="8"/>
      <name val="Times New Roman"/>
      <family val="1"/>
    </font>
    <font>
      <vertAlign val="superscript"/>
      <sz val="10"/>
      <name val="Times New Roman"/>
      <family val="1"/>
    </font>
    <font>
      <vertAlign val="superscript"/>
      <sz val="12"/>
      <name val="Times New Roman"/>
      <family val="1"/>
    </font>
    <font>
      <b/>
      <sz val="16"/>
      <name val="Australian Sunrise"/>
      <family val="0"/>
    </font>
    <font>
      <b/>
      <sz val="14"/>
      <name val="Arial"/>
      <family val="2"/>
    </font>
    <font>
      <b/>
      <sz val="14"/>
      <name val="Times New Roman"/>
      <family val="1"/>
    </font>
    <font>
      <b/>
      <sz val="18"/>
      <name val="Arial"/>
      <family val="0"/>
    </font>
    <font>
      <sz val="9"/>
      <name val="Arial"/>
      <family val="2"/>
    </font>
    <font>
      <sz val="10"/>
      <color indexed="9"/>
      <name val="Arial"/>
      <family val="0"/>
    </font>
    <font>
      <sz val="10"/>
      <color indexed="11"/>
      <name val="Arial"/>
      <family val="0"/>
    </font>
    <font>
      <sz val="16"/>
      <color indexed="18"/>
      <name val="Times New Roman"/>
      <family val="1"/>
    </font>
    <font>
      <b/>
      <sz val="22"/>
      <name val="Arial"/>
      <family val="2"/>
    </font>
    <font>
      <sz val="22"/>
      <name val="Arial"/>
      <family val="2"/>
    </font>
    <font>
      <sz val="16"/>
      <name val="Times New Roman"/>
      <family val="1"/>
    </font>
    <font>
      <sz val="16"/>
      <name val="Arial"/>
      <family val="0"/>
    </font>
  </fonts>
  <fills count="6">
    <fill>
      <patternFill/>
    </fill>
    <fill>
      <patternFill patternType="gray125"/>
    </fill>
    <fill>
      <patternFill patternType="solid">
        <fgColor indexed="13"/>
        <bgColor indexed="64"/>
      </patternFill>
    </fill>
    <fill>
      <patternFill patternType="solid">
        <fgColor indexed="65"/>
        <bgColor indexed="64"/>
      </patternFill>
    </fill>
    <fill>
      <patternFill patternType="solid">
        <fgColor indexed="41"/>
        <bgColor indexed="64"/>
      </patternFill>
    </fill>
    <fill>
      <patternFill patternType="solid">
        <fgColor indexed="60"/>
        <bgColor indexed="64"/>
      </patternFill>
    </fill>
  </fills>
  <borders count="12">
    <border>
      <left/>
      <right/>
      <top/>
      <bottom/>
      <diagonal/>
    </border>
    <border>
      <left style="medium"/>
      <right style="medium"/>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2" fillId="0" borderId="0" xfId="0" applyFont="1" applyAlignment="1">
      <alignment/>
    </xf>
    <xf numFmtId="3" fontId="0" fillId="0" borderId="0" xfId="0" applyNumberFormat="1" applyAlignment="1">
      <alignment/>
    </xf>
    <xf numFmtId="0" fontId="3" fillId="0" borderId="0" xfId="20" applyAlignment="1">
      <alignment/>
    </xf>
    <xf numFmtId="10" fontId="0" fillId="0" borderId="0" xfId="0" applyNumberFormat="1" applyAlignment="1">
      <alignment/>
    </xf>
    <xf numFmtId="4" fontId="0" fillId="0" borderId="0" xfId="0" applyNumberFormat="1" applyAlignment="1">
      <alignment/>
    </xf>
    <xf numFmtId="0" fontId="6" fillId="0" borderId="0" xfId="0" applyFont="1" applyAlignment="1">
      <alignment/>
    </xf>
    <xf numFmtId="0" fontId="0" fillId="0" borderId="0" xfId="0" applyFont="1" applyAlignment="1">
      <alignment/>
    </xf>
    <xf numFmtId="3" fontId="0" fillId="0" borderId="0" xfId="0" applyNumberFormat="1" applyFont="1" applyAlignment="1">
      <alignment/>
    </xf>
    <xf numFmtId="8" fontId="0" fillId="0" borderId="0" xfId="0" applyNumberFormat="1" applyAlignment="1">
      <alignment/>
    </xf>
    <xf numFmtId="10" fontId="2" fillId="0" borderId="0" xfId="0" applyNumberFormat="1" applyFont="1" applyAlignment="1">
      <alignment/>
    </xf>
    <xf numFmtId="40" fontId="0" fillId="0" borderId="0" xfId="0" applyNumberFormat="1" applyAlignment="1">
      <alignment/>
    </xf>
    <xf numFmtId="170" fontId="0" fillId="0" borderId="0" xfId="0" applyNumberFormat="1"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0" fillId="0" borderId="0" xfId="0" applyFont="1" applyAlignment="1">
      <alignment/>
    </xf>
    <xf numFmtId="172" fontId="0" fillId="0" borderId="0" xfId="15" applyNumberFormat="1" applyAlignment="1">
      <alignment/>
    </xf>
    <xf numFmtId="0" fontId="7" fillId="0" borderId="1" xfId="0" applyFont="1" applyBorder="1" applyAlignment="1">
      <alignment horizontal="center" vertical="top"/>
    </xf>
    <xf numFmtId="0" fontId="10" fillId="0" borderId="2" xfId="0" applyFont="1" applyBorder="1" applyAlignment="1">
      <alignment horizontal="right" vertical="top"/>
    </xf>
    <xf numFmtId="0" fontId="10" fillId="0" borderId="2" xfId="0" applyFont="1" applyBorder="1" applyAlignment="1">
      <alignment vertical="top"/>
    </xf>
    <xf numFmtId="0" fontId="0" fillId="0" borderId="3" xfId="0" applyBorder="1" applyAlignment="1">
      <alignment vertical="top"/>
    </xf>
    <xf numFmtId="0" fontId="0" fillId="0" borderId="4" xfId="0" applyBorder="1" applyAlignment="1">
      <alignment horizontal="right" vertical="top"/>
    </xf>
    <xf numFmtId="0" fontId="3" fillId="0" borderId="4" xfId="20" applyBorder="1" applyAlignment="1">
      <alignment vertical="top"/>
    </xf>
    <xf numFmtId="0" fontId="10" fillId="0" borderId="3" xfId="0" applyFont="1" applyBorder="1" applyAlignment="1">
      <alignment vertical="top"/>
    </xf>
    <xf numFmtId="0" fontId="10" fillId="0" borderId="4" xfId="0" applyFont="1" applyBorder="1" applyAlignment="1">
      <alignment horizontal="right" vertical="top"/>
    </xf>
    <xf numFmtId="0" fontId="11" fillId="0" borderId="0" xfId="0" applyFont="1" applyAlignment="1">
      <alignment/>
    </xf>
    <xf numFmtId="0" fontId="0" fillId="0" borderId="0" xfId="0" applyAlignment="1" applyProtection="1">
      <alignment horizontal="left"/>
      <protection/>
    </xf>
    <xf numFmtId="172" fontId="0" fillId="0" borderId="0" xfId="0" applyNumberFormat="1" applyAlignment="1">
      <alignment/>
    </xf>
    <xf numFmtId="10" fontId="0" fillId="0" borderId="0" xfId="21" applyNumberFormat="1" applyAlignment="1">
      <alignment/>
    </xf>
    <xf numFmtId="9" fontId="0" fillId="0" borderId="0" xfId="21" applyAlignment="1">
      <alignment/>
    </xf>
    <xf numFmtId="0" fontId="2" fillId="0" borderId="0" xfId="0" applyFont="1" applyAlignment="1">
      <alignment wrapText="1"/>
    </xf>
    <xf numFmtId="0" fontId="13" fillId="0" borderId="0" xfId="0" applyFont="1" applyAlignment="1">
      <alignment/>
    </xf>
    <xf numFmtId="0" fontId="13" fillId="0" borderId="0" xfId="0" applyFont="1" applyAlignment="1">
      <alignment wrapText="1"/>
    </xf>
    <xf numFmtId="0" fontId="2" fillId="0" borderId="0" xfId="0" applyFont="1" applyAlignment="1">
      <alignment horizontal="left" wrapText="1"/>
    </xf>
    <xf numFmtId="0" fontId="15" fillId="0" borderId="0" xfId="0" applyFont="1" applyAlignment="1">
      <alignment/>
    </xf>
    <xf numFmtId="0" fontId="16" fillId="0" borderId="0" xfId="0" applyFont="1" applyAlignment="1">
      <alignment/>
    </xf>
    <xf numFmtId="0" fontId="2" fillId="0" borderId="0" xfId="0" applyFont="1" applyAlignment="1">
      <alignment vertical="distributed" wrapText="1"/>
    </xf>
    <xf numFmtId="0" fontId="0" fillId="0" borderId="0" xfId="0" applyAlignment="1">
      <alignment vertical="distributed" wrapText="1"/>
    </xf>
    <xf numFmtId="0" fontId="13" fillId="0" borderId="0" xfId="0" applyFont="1" applyAlignment="1">
      <alignment horizontal="center"/>
    </xf>
    <xf numFmtId="0" fontId="13" fillId="0" borderId="0" xfId="0" applyFont="1" applyAlignment="1">
      <alignment horizontal="center" vertical="center"/>
    </xf>
    <xf numFmtId="0" fontId="2" fillId="0" borderId="1" xfId="0" applyFont="1" applyBorder="1" applyAlignment="1">
      <alignment vertical="top" wrapText="1"/>
    </xf>
    <xf numFmtId="0" fontId="2" fillId="0" borderId="5" xfId="0" applyFont="1" applyBorder="1" applyAlignment="1">
      <alignment vertical="top" wrapText="1"/>
    </xf>
    <xf numFmtId="0" fontId="3" fillId="0" borderId="6" xfId="20" applyBorder="1" applyAlignment="1">
      <alignment vertical="top" wrapText="1"/>
    </xf>
    <xf numFmtId="0" fontId="2" fillId="0" borderId="7" xfId="0" applyFont="1" applyBorder="1" applyAlignment="1">
      <alignment vertical="top" wrapText="1"/>
    </xf>
    <xf numFmtId="0" fontId="18" fillId="0" borderId="0" xfId="0" applyFont="1" applyAlignment="1">
      <alignment horizontal="center"/>
    </xf>
    <xf numFmtId="0" fontId="2" fillId="0" borderId="0" xfId="0" applyFont="1" applyAlignment="1">
      <alignment vertical="center" wrapText="1"/>
    </xf>
    <xf numFmtId="0" fontId="2" fillId="0" borderId="0" xfId="0" applyFont="1" applyAlignment="1">
      <alignment vertical="justify" wrapText="1"/>
    </xf>
    <xf numFmtId="0" fontId="0" fillId="0" borderId="0" xfId="0" applyAlignment="1">
      <alignment vertical="center"/>
    </xf>
    <xf numFmtId="0" fontId="0" fillId="0" borderId="0" xfId="0" applyAlignment="1">
      <alignment/>
    </xf>
    <xf numFmtId="43" fontId="0" fillId="0" borderId="0" xfId="15" applyAlignment="1">
      <alignment/>
    </xf>
    <xf numFmtId="0" fontId="6" fillId="0" borderId="0" xfId="0" applyFont="1" applyAlignment="1">
      <alignment/>
    </xf>
    <xf numFmtId="0" fontId="0" fillId="0" borderId="0" xfId="0" applyNumberFormat="1" applyAlignment="1">
      <alignment/>
    </xf>
    <xf numFmtId="0" fontId="0" fillId="0" borderId="0" xfId="0" applyAlignment="1">
      <alignment wrapText="1"/>
    </xf>
    <xf numFmtId="173" fontId="0" fillId="0" borderId="0" xfId="21" applyNumberFormat="1" applyAlignment="1">
      <alignment/>
    </xf>
    <xf numFmtId="187" fontId="0" fillId="0" borderId="0" xfId="0" applyNumberFormat="1" applyAlignment="1">
      <alignment/>
    </xf>
    <xf numFmtId="0" fontId="0" fillId="0" borderId="0" xfId="0" applyAlignment="1" quotePrefix="1">
      <alignment/>
    </xf>
    <xf numFmtId="0" fontId="20" fillId="0" borderId="0" xfId="0" applyFont="1" applyAlignment="1">
      <alignment horizontal="center" wrapText="1"/>
    </xf>
    <xf numFmtId="0" fontId="21" fillId="0" borderId="0" xfId="0" applyFont="1" applyAlignment="1">
      <alignment/>
    </xf>
    <xf numFmtId="3" fontId="10" fillId="0" borderId="0" xfId="0" applyNumberFormat="1" applyFont="1" applyAlignment="1">
      <alignment/>
    </xf>
    <xf numFmtId="4" fontId="10" fillId="0" borderId="0" xfId="0" applyNumberFormat="1" applyFont="1" applyAlignment="1">
      <alignment/>
    </xf>
    <xf numFmtId="2" fontId="0" fillId="0" borderId="0" xfId="0" applyNumberFormat="1" applyAlignment="1">
      <alignment/>
    </xf>
    <xf numFmtId="0" fontId="22" fillId="0" borderId="0" xfId="0" applyFont="1" applyAlignment="1">
      <alignment/>
    </xf>
    <xf numFmtId="0" fontId="0" fillId="0" borderId="8" xfId="0" applyBorder="1" applyAlignment="1">
      <alignment/>
    </xf>
    <xf numFmtId="3" fontId="0" fillId="0" borderId="8" xfId="0" applyNumberFormat="1" applyBorder="1" applyAlignment="1">
      <alignment/>
    </xf>
    <xf numFmtId="8" fontId="0" fillId="0" borderId="8" xfId="0" applyNumberFormat="1" applyBorder="1" applyAlignment="1">
      <alignment/>
    </xf>
    <xf numFmtId="0" fontId="6" fillId="0" borderId="8" xfId="0" applyFont="1" applyBorder="1" applyAlignment="1">
      <alignment/>
    </xf>
    <xf numFmtId="3" fontId="6" fillId="0" borderId="8" xfId="0" applyNumberFormat="1" applyFont="1" applyBorder="1" applyAlignment="1">
      <alignment/>
    </xf>
    <xf numFmtId="0" fontId="10" fillId="0" borderId="8" xfId="0" applyFont="1" applyBorder="1" applyAlignment="1">
      <alignment/>
    </xf>
    <xf numFmtId="3" fontId="10" fillId="0" borderId="8" xfId="0" applyNumberFormat="1" applyFont="1" applyBorder="1" applyAlignment="1">
      <alignment/>
    </xf>
    <xf numFmtId="172" fontId="0" fillId="0" borderId="8" xfId="15" applyNumberFormat="1" applyBorder="1" applyAlignment="1">
      <alignment/>
    </xf>
    <xf numFmtId="0" fontId="21" fillId="0" borderId="8" xfId="0" applyFont="1" applyBorder="1" applyAlignment="1">
      <alignment/>
    </xf>
    <xf numFmtId="0" fontId="22" fillId="0" borderId="8" xfId="0" applyFont="1" applyBorder="1" applyAlignment="1">
      <alignment/>
    </xf>
    <xf numFmtId="2" fontId="0" fillId="0" borderId="8" xfId="0" applyNumberFormat="1" applyBorder="1" applyAlignment="1">
      <alignment/>
    </xf>
    <xf numFmtId="10" fontId="0" fillId="0" borderId="8" xfId="21" applyNumberFormat="1" applyBorder="1" applyAlignment="1">
      <alignment/>
    </xf>
    <xf numFmtId="3" fontId="0" fillId="2" borderId="0" xfId="0" applyNumberFormat="1" applyFill="1" applyAlignment="1">
      <alignment/>
    </xf>
    <xf numFmtId="3" fontId="10" fillId="0" borderId="8" xfId="0" applyNumberFormat="1" applyFont="1" applyBorder="1" applyAlignment="1">
      <alignment/>
    </xf>
    <xf numFmtId="191" fontId="0" fillId="0" borderId="8" xfId="0" applyNumberFormat="1" applyBorder="1" applyAlignment="1">
      <alignment/>
    </xf>
    <xf numFmtId="0" fontId="0" fillId="2" borderId="8" xfId="0" applyFill="1" applyBorder="1" applyAlignment="1">
      <alignment/>
    </xf>
    <xf numFmtId="0" fontId="0" fillId="0" borderId="8" xfId="0" applyBorder="1" applyAlignment="1">
      <alignment wrapText="1"/>
    </xf>
    <xf numFmtId="0" fontId="0" fillId="0" borderId="8" xfId="0" applyFont="1" applyBorder="1" applyAlignment="1">
      <alignment/>
    </xf>
    <xf numFmtId="172" fontId="0" fillId="0" borderId="8" xfId="0" applyNumberFormat="1" applyBorder="1" applyAlignment="1">
      <alignment/>
    </xf>
    <xf numFmtId="44" fontId="0" fillId="0" borderId="8" xfId="17" applyBorder="1" applyAlignment="1">
      <alignment/>
    </xf>
    <xf numFmtId="172" fontId="0" fillId="2" borderId="8" xfId="0" applyNumberFormat="1" applyFill="1" applyBorder="1" applyAlignment="1">
      <alignment/>
    </xf>
    <xf numFmtId="3" fontId="0" fillId="0" borderId="8" xfId="0" applyNumberFormat="1" applyFont="1" applyFill="1" applyBorder="1" applyAlignment="1" applyProtection="1">
      <alignment/>
      <protection locked="0"/>
    </xf>
    <xf numFmtId="8" fontId="0" fillId="2" borderId="8" xfId="0" applyNumberFormat="1" applyFill="1" applyBorder="1" applyAlignment="1">
      <alignment/>
    </xf>
    <xf numFmtId="9" fontId="0" fillId="0" borderId="8" xfId="0" applyNumberFormat="1" applyBorder="1" applyAlignment="1">
      <alignment/>
    </xf>
    <xf numFmtId="0" fontId="0" fillId="0" borderId="8" xfId="0" applyBorder="1" applyAlignment="1">
      <alignment horizontal="right"/>
    </xf>
    <xf numFmtId="10" fontId="0" fillId="0" borderId="8" xfId="0" applyNumberFormat="1" applyBorder="1" applyAlignment="1">
      <alignment/>
    </xf>
    <xf numFmtId="10" fontId="0" fillId="2" borderId="8" xfId="0" applyNumberFormat="1" applyFill="1" applyBorder="1" applyAlignment="1">
      <alignment/>
    </xf>
    <xf numFmtId="10" fontId="0" fillId="2" borderId="0" xfId="0" applyNumberFormat="1" applyFill="1" applyAlignment="1">
      <alignment/>
    </xf>
    <xf numFmtId="10" fontId="0" fillId="2" borderId="8" xfId="21" applyNumberFormat="1" applyFill="1" applyBorder="1" applyAlignment="1">
      <alignment/>
    </xf>
    <xf numFmtId="186" fontId="0" fillId="0" borderId="8" xfId="0" applyNumberFormat="1" applyBorder="1" applyAlignment="1">
      <alignment/>
    </xf>
    <xf numFmtId="43" fontId="0" fillId="0" borderId="8" xfId="15" applyBorder="1" applyAlignment="1">
      <alignment/>
    </xf>
    <xf numFmtId="43" fontId="0" fillId="0" borderId="8" xfId="0" applyNumberFormat="1" applyBorder="1" applyAlignment="1">
      <alignment/>
    </xf>
    <xf numFmtId="0" fontId="3" fillId="0" borderId="8" xfId="20" applyBorder="1" applyAlignment="1">
      <alignment/>
    </xf>
    <xf numFmtId="6" fontId="0" fillId="0" borderId="8" xfId="0" applyNumberFormat="1" applyBorder="1" applyAlignment="1">
      <alignment/>
    </xf>
    <xf numFmtId="9" fontId="0" fillId="0" borderId="8" xfId="21" applyBorder="1" applyAlignment="1">
      <alignment/>
    </xf>
    <xf numFmtId="3" fontId="0" fillId="0" borderId="8" xfId="0" applyNumberFormat="1" applyFont="1" applyBorder="1" applyAlignment="1">
      <alignment/>
    </xf>
    <xf numFmtId="4" fontId="0" fillId="0" borderId="8" xfId="0" applyNumberFormat="1" applyFont="1" applyBorder="1" applyAlignment="1">
      <alignment/>
    </xf>
    <xf numFmtId="0" fontId="4" fillId="0" borderId="9" xfId="0" applyNumberFormat="1" applyFont="1" applyFill="1" applyBorder="1" applyAlignment="1">
      <alignment wrapText="1"/>
    </xf>
    <xf numFmtId="169" fontId="0" fillId="0" borderId="8" xfId="0" applyNumberFormat="1" applyBorder="1" applyAlignment="1">
      <alignment/>
    </xf>
    <xf numFmtId="169" fontId="0" fillId="2" borderId="8" xfId="0" applyNumberFormat="1" applyFill="1" applyBorder="1" applyAlignment="1">
      <alignment/>
    </xf>
    <xf numFmtId="3" fontId="6" fillId="2" borderId="8" xfId="0" applyNumberFormat="1" applyFont="1" applyFill="1" applyBorder="1" applyAlignment="1">
      <alignment/>
    </xf>
    <xf numFmtId="184" fontId="0" fillId="0" borderId="8" xfId="17" applyNumberFormat="1" applyBorder="1" applyAlignment="1">
      <alignment/>
    </xf>
    <xf numFmtId="184" fontId="0" fillId="2" borderId="8" xfId="17" applyNumberFormat="1" applyFill="1" applyBorder="1" applyAlignment="1">
      <alignment/>
    </xf>
    <xf numFmtId="184" fontId="0" fillId="0" borderId="8" xfId="0" applyNumberFormat="1" applyBorder="1" applyAlignment="1">
      <alignment/>
    </xf>
    <xf numFmtId="184" fontId="0" fillId="2" borderId="8" xfId="0" applyNumberFormat="1" applyFill="1" applyBorder="1" applyAlignment="1">
      <alignment/>
    </xf>
    <xf numFmtId="0" fontId="2" fillId="0" borderId="8" xfId="0" applyFont="1" applyBorder="1" applyAlignment="1">
      <alignment/>
    </xf>
    <xf numFmtId="0" fontId="23" fillId="0" borderId="0" xfId="0" applyFont="1" applyAlignment="1">
      <alignment/>
    </xf>
    <xf numFmtId="0" fontId="0" fillId="0" borderId="10" xfId="0" applyBorder="1" applyAlignment="1">
      <alignment/>
    </xf>
    <xf numFmtId="3" fontId="0" fillId="2" borderId="8" xfId="0" applyNumberFormat="1" applyFill="1" applyBorder="1" applyAlignment="1">
      <alignment/>
    </xf>
    <xf numFmtId="172" fontId="0" fillId="2" borderId="8" xfId="15" applyNumberFormat="1" applyFill="1" applyBorder="1" applyAlignment="1">
      <alignment/>
    </xf>
    <xf numFmtId="0" fontId="25" fillId="3" borderId="8" xfId="0" applyFont="1" applyFill="1" applyBorder="1" applyAlignment="1">
      <alignment vertical="center" wrapText="1"/>
    </xf>
    <xf numFmtId="0" fontId="25" fillId="3" borderId="8" xfId="0" applyFont="1" applyFill="1" applyBorder="1" applyAlignment="1">
      <alignment wrapText="1"/>
    </xf>
    <xf numFmtId="0" fontId="28" fillId="0" borderId="0" xfId="0" applyFont="1" applyAlignment="1">
      <alignment/>
    </xf>
    <xf numFmtId="0" fontId="29" fillId="0" borderId="0" xfId="0" applyFont="1" applyAlignment="1">
      <alignment/>
    </xf>
    <xf numFmtId="0" fontId="25" fillId="3" borderId="8" xfId="0" applyFont="1" applyFill="1" applyBorder="1" applyAlignment="1">
      <alignment vertical="center"/>
    </xf>
    <xf numFmtId="0" fontId="25" fillId="3" borderId="8" xfId="0" applyFont="1" applyFill="1" applyBorder="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6" fillId="0" borderId="0" xfId="0" applyFont="1" applyAlignment="1">
      <alignment horizontal="center"/>
    </xf>
    <xf numFmtId="0" fontId="27" fillId="0" borderId="0" xfId="0" applyFont="1" applyAlignment="1">
      <alignment/>
    </xf>
    <xf numFmtId="0" fontId="0" fillId="0" borderId="0" xfId="0" applyAlignment="1">
      <alignment/>
    </xf>
    <xf numFmtId="0" fontId="10" fillId="4" borderId="0" xfId="0" applyFont="1" applyFill="1" applyAlignment="1">
      <alignment horizontal="center"/>
    </xf>
    <xf numFmtId="0" fontId="0" fillId="4" borderId="0" xfId="0" applyFill="1" applyAlignment="1">
      <alignment horizontal="center"/>
    </xf>
    <xf numFmtId="0" fontId="24" fillId="5" borderId="0" xfId="0" applyFont="1" applyFill="1" applyAlignment="1">
      <alignment horizontal="center"/>
    </xf>
    <xf numFmtId="0" fontId="2" fillId="0" borderId="11" xfId="0" applyFont="1" applyBorder="1" applyAlignment="1">
      <alignment vertical="top" wrapText="1"/>
    </xf>
    <xf numFmtId="0" fontId="2" fillId="0" borderId="6" xfId="0" applyFont="1" applyBorder="1" applyAlignment="1">
      <alignment vertical="top" wrapText="1"/>
    </xf>
    <xf numFmtId="0" fontId="0" fillId="0" borderId="0" xfId="0" applyAlignment="1">
      <alignment vertical="center" wrapText="1"/>
    </xf>
    <xf numFmtId="0" fontId="0" fillId="0" borderId="0" xfId="0" applyAlignment="1">
      <alignment wrapText="1"/>
    </xf>
    <xf numFmtId="0" fontId="2" fillId="0" borderId="0" xfId="0" applyFont="1" applyAlignment="1">
      <alignment wrapText="1"/>
    </xf>
    <xf numFmtId="0" fontId="0" fillId="0" borderId="8" xfId="0" applyNumberFormat="1" applyBorder="1" applyAlignment="1">
      <alignment vertical="center" wrapText="1"/>
    </xf>
    <xf numFmtId="0" fontId="0" fillId="0" borderId="8" xfId="0" applyBorder="1" applyAlignment="1">
      <alignment vertical="center" wrapText="1"/>
    </xf>
    <xf numFmtId="0" fontId="2" fillId="0" borderId="0" xfId="0" applyFont="1" applyAlignment="1">
      <alignment vertical="center" wrapText="1"/>
    </xf>
    <xf numFmtId="0" fontId="2" fillId="0" borderId="0" xfId="0" applyNumberFormat="1" applyFont="1" applyAlignment="1">
      <alignment wrapText="1"/>
    </xf>
    <xf numFmtId="0" fontId="11" fillId="0" borderId="0" xfId="0" applyFont="1" applyAlignment="1">
      <alignment vertical="center" wrapText="1"/>
    </xf>
    <xf numFmtId="0" fontId="0" fillId="0" borderId="0" xfId="0" applyFont="1" applyAlignment="1">
      <alignment vertical="center" wrapText="1"/>
    </xf>
    <xf numFmtId="0" fontId="19" fillId="0" borderId="0" xfId="0" applyFont="1" applyAlignment="1">
      <alignment horizontal="center"/>
    </xf>
    <xf numFmtId="0" fontId="0" fillId="0" borderId="8" xfId="0" applyBorder="1" applyAlignment="1">
      <alignment wrapText="1"/>
    </xf>
    <xf numFmtId="0" fontId="13" fillId="0" borderId="0" xfId="0" applyFont="1" applyAlignment="1">
      <alignment horizontal="center"/>
    </xf>
    <xf numFmtId="0" fontId="1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9525</xdr:rowOff>
    </xdr:from>
    <xdr:to>
      <xdr:col>4</xdr:col>
      <xdr:colOff>314325</xdr:colOff>
      <xdr:row>22</xdr:row>
      <xdr:rowOff>0</xdr:rowOff>
    </xdr:to>
    <xdr:pic>
      <xdr:nvPicPr>
        <xdr:cNvPr id="1" name="Picture 1"/>
        <xdr:cNvPicPr preferRelativeResize="1">
          <a:picLocks noChangeAspect="1"/>
        </xdr:cNvPicPr>
      </xdr:nvPicPr>
      <xdr:blipFill>
        <a:blip r:embed="rId1"/>
        <a:stretch>
          <a:fillRect/>
        </a:stretch>
      </xdr:blipFill>
      <xdr:spPr>
        <a:xfrm>
          <a:off x="609600" y="1143000"/>
          <a:ext cx="2143125" cy="2419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vonic.com/PDFs/LtrstoShldrs/ecd97ltr.pdf" TargetMode="External" /><Relationship Id="rId2" Type="http://schemas.openxmlformats.org/officeDocument/2006/relationships/hyperlink" Target="http://www.cybertran.com/" TargetMode="External" /><Relationship Id="rId3"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nohairshirts.com/chap2.doc" TargetMode="External" /><Relationship Id="rId2" Type="http://schemas.openxmlformats.org/officeDocument/2006/relationships/hyperlink" Target="http://www.nohairshirts.com/chap2.pdf" TargetMode="External" /><Relationship Id="rId3" Type="http://schemas.openxmlformats.org/officeDocument/2006/relationships/hyperlink" Target="http://www.nohairshirts.com/chap2.php" TargetMode="External" /><Relationship Id="rId4" Type="http://schemas.openxmlformats.org/officeDocument/2006/relationships/hyperlink" Target="http://www.nohairshirts.com/chap3.doc" TargetMode="External" /><Relationship Id="rId5" Type="http://schemas.openxmlformats.org/officeDocument/2006/relationships/hyperlink" Target="http://www.nohairshirts.com/chap3.pdf" TargetMode="External" /><Relationship Id="rId6" Type="http://schemas.openxmlformats.org/officeDocument/2006/relationships/hyperlink" Target="http://www.nohairshirts.com/chap3.php" TargetMode="External" /><Relationship Id="rId7" Type="http://schemas.openxmlformats.org/officeDocument/2006/relationships/hyperlink" Target="http://www.nohairshirts.com/chap3.doc" TargetMode="External" /><Relationship Id="rId8" Type="http://schemas.openxmlformats.org/officeDocument/2006/relationships/hyperlink" Target="http://www.nohairshirts.com/chap3.pdf" TargetMode="External" /><Relationship Id="rId9" Type="http://schemas.openxmlformats.org/officeDocument/2006/relationships/hyperlink" Target="http://www.nohairshirts.com/chap3.php" TargetMode="External" /><Relationship Id="rId10" Type="http://schemas.openxmlformats.org/officeDocument/2006/relationships/hyperlink" Target="http://www.nohairshirts.com/chap4.doc" TargetMode="External" /><Relationship Id="rId11" Type="http://schemas.openxmlformats.org/officeDocument/2006/relationships/hyperlink" Target="http://www.nohairshirts.com/chap4.pdf" TargetMode="External" /><Relationship Id="rId12" Type="http://schemas.openxmlformats.org/officeDocument/2006/relationships/hyperlink" Target="http://www.nohairshirts.com/chap4.php" TargetMode="External" /><Relationship Id="rId13" Type="http://schemas.openxmlformats.org/officeDocument/2006/relationships/hyperlink" Target="http://www.nohairshirts.com/chap5.doc" TargetMode="External" /><Relationship Id="rId14" Type="http://schemas.openxmlformats.org/officeDocument/2006/relationships/hyperlink" Target="http://www.nohairshirts.com/chap5.pdf" TargetMode="External" /><Relationship Id="rId15" Type="http://schemas.openxmlformats.org/officeDocument/2006/relationships/hyperlink" Target="http://www.nohairshirts.com/chap5.php" TargetMode="External" /><Relationship Id="rId16" Type="http://schemas.openxmlformats.org/officeDocument/2006/relationships/hyperlink" Target="http://www.nohairshirts.com/chap6.doc" TargetMode="External" /><Relationship Id="rId17" Type="http://schemas.openxmlformats.org/officeDocument/2006/relationships/hyperlink" Target="http://www.nohairshirts.com/chap6.pdf" TargetMode="External" /><Relationship Id="rId18" Type="http://schemas.openxmlformats.org/officeDocument/2006/relationships/hyperlink" Target="http://www.nohairshirts.com/chap6..php" TargetMode="External" /><Relationship Id="rId19" Type="http://schemas.openxmlformats.org/officeDocument/2006/relationships/hyperlink" Target="http://www.nohairshirts.com/chap7.doc" TargetMode="External" /><Relationship Id="rId20" Type="http://schemas.openxmlformats.org/officeDocument/2006/relationships/hyperlink" Target="http://www.nohairshirts.com/chap7.pdf" TargetMode="External" /><Relationship Id="rId21" Type="http://schemas.openxmlformats.org/officeDocument/2006/relationships/hyperlink" Target="http://www.nohairshirts.com/chap7.php" TargetMode="External" /><Relationship Id="rId22" Type="http://schemas.openxmlformats.org/officeDocument/2006/relationships/hyperlink" Target="http://www.nohairshirts.com/chap8.doc" TargetMode="External" /><Relationship Id="rId23" Type="http://schemas.openxmlformats.org/officeDocument/2006/relationships/hyperlink" Target="http://www.nohairshirts.com/chap8.pdf" TargetMode="External" /><Relationship Id="rId24" Type="http://schemas.openxmlformats.org/officeDocument/2006/relationships/hyperlink" Target="http://www.nohairshirts.com/chap8.php" TargetMode="External" /><Relationship Id="rId25" Type="http://schemas.openxmlformats.org/officeDocument/2006/relationships/hyperlink" Target="http://www.nohairshirts.com/chap9.doc" TargetMode="External" /><Relationship Id="rId26" Type="http://schemas.openxmlformats.org/officeDocument/2006/relationships/hyperlink" Target="http://www.nohairshirts.com/chap9.pdf" TargetMode="External" /><Relationship Id="rId27" Type="http://schemas.openxmlformats.org/officeDocument/2006/relationships/hyperlink" Target="http://www.nohairshirts.com/chap9.php" TargetMode="External" /><Relationship Id="rId28" Type="http://schemas.openxmlformats.org/officeDocument/2006/relationships/hyperlink" Target="http://www.nohairshirts.com/chap10.doc" TargetMode="External" /><Relationship Id="rId29" Type="http://schemas.openxmlformats.org/officeDocument/2006/relationships/hyperlink" Target="http://www.nohairshirts.com/chap10.pdf" TargetMode="External" /><Relationship Id="rId30" Type="http://schemas.openxmlformats.org/officeDocument/2006/relationships/hyperlink" Target="http://www.nohairshirts.com/chap10.php" TargetMode="External" /><Relationship Id="rId31" Type="http://schemas.openxmlformats.org/officeDocument/2006/relationships/hyperlink" Target="http://www.nohairshirts.com/chap11.doc" TargetMode="External" /><Relationship Id="rId32" Type="http://schemas.openxmlformats.org/officeDocument/2006/relationships/hyperlink" Target="http://www.nohairshirts.com/chap11.pdf" TargetMode="External" /><Relationship Id="rId33" Type="http://schemas.openxmlformats.org/officeDocument/2006/relationships/hyperlink" Target="http://www.nohairshirts.com/chap11.php" TargetMode="External" /><Relationship Id="rId34" Type="http://schemas.openxmlformats.org/officeDocument/2006/relationships/hyperlink" Target="http://www.nohairshirts.com/chap12.doc" TargetMode="External" /><Relationship Id="rId35" Type="http://schemas.openxmlformats.org/officeDocument/2006/relationships/hyperlink" Target="http://www.nohairshirts.com/chap12.pdf" TargetMode="External" /><Relationship Id="rId36" Type="http://schemas.openxmlformats.org/officeDocument/2006/relationships/hyperlink" Target="http://www.nohairshirts.com/chap12.php" TargetMode="External" /><Relationship Id="rId37" Type="http://schemas.openxmlformats.org/officeDocument/2006/relationships/hyperlink" Target="http://www.nohairshirts.com/chap13.doc" TargetMode="External" /><Relationship Id="rId38" Type="http://schemas.openxmlformats.org/officeDocument/2006/relationships/hyperlink" Target="http://www.nohairshirts.com/chap13.pdf" TargetMode="External" /><Relationship Id="rId39" Type="http://schemas.openxmlformats.org/officeDocument/2006/relationships/hyperlink" Target="http://www.nohairshirts.com/chap13.php" TargetMode="External" /><Relationship Id="rId40" Type="http://schemas.openxmlformats.org/officeDocument/2006/relationships/hyperlink" Target="http://www.nohairshirts.com/chap14.doc" TargetMode="External" /><Relationship Id="rId41" Type="http://schemas.openxmlformats.org/officeDocument/2006/relationships/hyperlink" Target="http://www.nohairshirts.com/chap14.pdf" TargetMode="External" /><Relationship Id="rId42" Type="http://schemas.openxmlformats.org/officeDocument/2006/relationships/hyperlink" Target="http://www.nohairshirts.com/chap14.php" TargetMode="External" /><Relationship Id="rId43" Type="http://schemas.openxmlformats.org/officeDocument/2006/relationships/hyperlink" Target="http://www.nohairshirts.com/chap15.doc" TargetMode="External" /><Relationship Id="rId44" Type="http://schemas.openxmlformats.org/officeDocument/2006/relationships/hyperlink" Target="http://www.nohairshirts.com/chap15.pdf" TargetMode="External" /><Relationship Id="rId45" Type="http://schemas.openxmlformats.org/officeDocument/2006/relationships/hyperlink" Target="http://www.nohairshirts.com/chap15.php"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udel.edu/V2G/docs/KemptonDhanju06-V2G-Wind.pdf" TargetMode="Externa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ciencedirect.com/science?_ob=ArticleURL&amp;_udi=B6WJ6-4NF2NCH-2&amp;_user=10&amp;_coverDate=07%2F31%2F2007&amp;_rdoc=1&amp;_fmt=full&amp;_orig=na&amp;_cdi=6870&amp;_docanchor=&amp;_acct=C000050221&amp;_version=1&amp;_urlVersion=0&amp;_userid=10&amp;md5=14da2390f4e99604ff928c351c36ad06#implicit0" TargetMode="External" /><Relationship Id="rId2" Type="http://schemas.openxmlformats.org/officeDocument/2006/relationships/hyperlink" Target="http://www.sciencedirect.com/science?_ob=PublicationURL&amp;_tockey=%23TOC%236870%232007%23999459998%23661611%23FLA%23&amp;_cdi=6870&amp;_pubType=J&amp;_auth=y&amp;_acct=C000050221&amp;_version=1&amp;_urlVersion=0&amp;_userid=10&amp;md5=fc5639f8ff52d67728bfb57cea13ebe2"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bpa.gov/Energy/N/projects/post2006conservation/doc/Windpower_Cost_Review.doc" TargetMode="External" /><Relationship Id="rId2" Type="http://schemas.openxmlformats.org/officeDocument/2006/relationships/hyperlink" Target="http://www.awea.org/newsroom/releases/Wind_Power_Capacity_012307.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awea.org/newsroom/releases/Wind_Power_Capacity_012307.html" TargetMode="External" /><Relationship Id="rId2" Type="http://schemas.openxmlformats.org/officeDocument/2006/relationships/hyperlink" Target="http://www.awea.org/newsroom/releases/Wind_Power_Capacity_012307.html" TargetMode="Externa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_ednref14" TargetMode="External" /><Relationship Id="rId2" Type="http://schemas.openxmlformats.org/officeDocument/2006/relationships/hyperlink" Target="_ednref15" TargetMode="External" /><Relationship Id="rId3" Type="http://schemas.openxmlformats.org/officeDocument/2006/relationships/hyperlink" Target="_ednref26" TargetMode="External" /><Relationship Id="rId4" Type="http://schemas.openxmlformats.org/officeDocument/2006/relationships/hyperlink" Target="_ednref27" TargetMode="External" /><Relationship Id="rId5" Type="http://schemas.openxmlformats.org/officeDocument/2006/relationships/hyperlink" Target="_ednref2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_ednref1" TargetMode="External" /><Relationship Id="rId2" Type="http://schemas.openxmlformats.org/officeDocument/2006/relationships/hyperlink" Target="_ednref14" TargetMode="External" /><Relationship Id="rId3" Type="http://schemas.openxmlformats.org/officeDocument/2006/relationships/hyperlink" Target="_ednref15" TargetMode="External" /></Relationships>
</file>

<file path=xl/worksheets/sheet1.xml><?xml version="1.0" encoding="utf-8"?>
<worksheet xmlns="http://schemas.openxmlformats.org/spreadsheetml/2006/main" xmlns:r="http://schemas.openxmlformats.org/officeDocument/2006/relationships">
  <dimension ref="A1:F30"/>
  <sheetViews>
    <sheetView tabSelected="1" workbookViewId="0" topLeftCell="A7">
      <selection activeCell="B19" sqref="B19"/>
    </sheetView>
  </sheetViews>
  <sheetFormatPr defaultColWidth="9.140625" defaultRowHeight="12.75"/>
  <cols>
    <col min="1" max="1" width="34.28125" style="0" customWidth="1"/>
    <col min="2" max="2" width="150.140625" style="0" customWidth="1"/>
  </cols>
  <sheetData>
    <row r="1" spans="1:6" ht="27.75">
      <c r="A1" s="121" t="s">
        <v>652</v>
      </c>
      <c r="B1" s="122"/>
      <c r="C1" s="122"/>
      <c r="D1" s="122"/>
      <c r="E1" s="122"/>
      <c r="F1" s="122"/>
    </row>
    <row r="2" spans="1:6" ht="27.75">
      <c r="A2" s="121" t="s">
        <v>381</v>
      </c>
      <c r="B2" s="123"/>
      <c r="C2" s="123"/>
      <c r="D2" s="123"/>
      <c r="E2" s="123"/>
      <c r="F2" s="123"/>
    </row>
    <row r="3" spans="1:6" ht="68.25" customHeight="1">
      <c r="A3" s="119" t="s">
        <v>331</v>
      </c>
      <c r="B3" s="120"/>
      <c r="C3" s="120"/>
      <c r="D3" s="120"/>
      <c r="E3" s="120"/>
      <c r="F3" s="120"/>
    </row>
    <row r="4" spans="1:6" ht="20.25">
      <c r="A4" s="115"/>
      <c r="B4" s="115"/>
      <c r="C4" s="116"/>
      <c r="D4" s="116"/>
      <c r="E4" s="116"/>
      <c r="F4" s="116"/>
    </row>
    <row r="5" spans="1:2" ht="15.75">
      <c r="A5" s="1"/>
      <c r="B5" s="1"/>
    </row>
    <row r="6" spans="1:6" ht="15.75">
      <c r="A6" s="1"/>
      <c r="B6" s="1"/>
      <c r="C6" s="1"/>
      <c r="D6" s="1"/>
      <c r="E6" s="1"/>
      <c r="F6" s="1"/>
    </row>
    <row r="7" spans="1:6" ht="20.25">
      <c r="A7" s="117" t="s">
        <v>359</v>
      </c>
      <c r="B7" s="114" t="s">
        <v>367</v>
      </c>
      <c r="C7" s="1"/>
      <c r="D7" s="1"/>
      <c r="E7" s="1"/>
      <c r="F7" s="1"/>
    </row>
    <row r="8" spans="1:6" ht="20.25">
      <c r="A8" s="117" t="s">
        <v>360</v>
      </c>
      <c r="B8" s="114" t="s">
        <v>30</v>
      </c>
      <c r="C8" s="1"/>
      <c r="D8" s="1"/>
      <c r="E8" s="1"/>
      <c r="F8" s="1"/>
    </row>
    <row r="9" spans="1:6" ht="20.25">
      <c r="A9" s="117" t="s">
        <v>361</v>
      </c>
      <c r="B9" s="114" t="s">
        <v>378</v>
      </c>
      <c r="C9" s="1"/>
      <c r="D9" s="1"/>
      <c r="E9" s="1"/>
      <c r="F9" s="1"/>
    </row>
    <row r="10" spans="1:6" ht="20.25">
      <c r="A10" s="117" t="s">
        <v>362</v>
      </c>
      <c r="B10" s="114" t="s">
        <v>379</v>
      </c>
      <c r="C10" s="1"/>
      <c r="D10" s="1"/>
      <c r="E10" s="1"/>
      <c r="F10" s="1"/>
    </row>
    <row r="11" spans="1:6" ht="20.25">
      <c r="A11" s="117" t="s">
        <v>363</v>
      </c>
      <c r="B11" s="114" t="s">
        <v>380</v>
      </c>
      <c r="C11" s="1"/>
      <c r="D11" s="1"/>
      <c r="E11" s="1"/>
      <c r="F11" s="1"/>
    </row>
    <row r="12" spans="1:6" ht="20.25">
      <c r="A12" s="117" t="s">
        <v>365</v>
      </c>
      <c r="B12" s="114" t="s">
        <v>333</v>
      </c>
      <c r="C12" s="1"/>
      <c r="D12" s="1"/>
      <c r="E12" s="1"/>
      <c r="F12" s="1"/>
    </row>
    <row r="13" spans="1:6" ht="40.5">
      <c r="A13" s="117" t="s">
        <v>366</v>
      </c>
      <c r="B13" s="114" t="s">
        <v>332</v>
      </c>
      <c r="C13" s="1"/>
      <c r="D13" s="1"/>
      <c r="E13" s="1"/>
      <c r="F13" s="1"/>
    </row>
    <row r="14" spans="1:6" ht="20.25">
      <c r="A14" s="117" t="s">
        <v>368</v>
      </c>
      <c r="B14" s="118" t="s">
        <v>400</v>
      </c>
      <c r="C14" s="1"/>
      <c r="D14" s="1"/>
      <c r="E14" s="1"/>
      <c r="F14" s="1"/>
    </row>
    <row r="15" spans="1:6" ht="20.25">
      <c r="A15" s="117" t="s">
        <v>142</v>
      </c>
      <c r="B15" s="118"/>
      <c r="C15" s="1"/>
      <c r="D15" s="1"/>
      <c r="E15" s="1"/>
      <c r="F15" s="1"/>
    </row>
    <row r="16" spans="1:6" ht="20.25">
      <c r="A16" s="117" t="s">
        <v>398</v>
      </c>
      <c r="B16" s="118"/>
      <c r="C16" s="1"/>
      <c r="D16" s="1"/>
      <c r="E16" s="1"/>
      <c r="F16" s="1"/>
    </row>
    <row r="17" spans="1:6" ht="20.25">
      <c r="A17" s="117" t="s">
        <v>399</v>
      </c>
      <c r="B17" s="118"/>
      <c r="C17" s="1"/>
      <c r="D17" s="1"/>
      <c r="E17" s="1"/>
      <c r="F17" s="1"/>
    </row>
    <row r="18" spans="1:6" ht="20.25">
      <c r="A18" s="117" t="s">
        <v>435</v>
      </c>
      <c r="B18" s="113" t="s">
        <v>334</v>
      </c>
      <c r="C18" s="1"/>
      <c r="D18" s="1"/>
      <c r="E18" s="1"/>
      <c r="F18" s="1"/>
    </row>
    <row r="19" spans="1:6" ht="40.5">
      <c r="A19" s="117" t="s">
        <v>645</v>
      </c>
      <c r="B19" s="114" t="s">
        <v>321</v>
      </c>
      <c r="C19" s="1"/>
      <c r="D19" s="1"/>
      <c r="E19" s="1"/>
      <c r="F19" s="1"/>
    </row>
    <row r="20" spans="1:6" ht="20.25">
      <c r="A20" s="117" t="s">
        <v>364</v>
      </c>
      <c r="B20" s="114" t="s">
        <v>653</v>
      </c>
      <c r="C20" s="1"/>
      <c r="D20" s="1"/>
      <c r="E20" s="1"/>
      <c r="F20" s="1"/>
    </row>
    <row r="21" spans="1:6" ht="40.5">
      <c r="A21" s="117" t="s">
        <v>440</v>
      </c>
      <c r="B21" s="114" t="s">
        <v>335</v>
      </c>
      <c r="C21" s="1"/>
      <c r="D21" s="1"/>
      <c r="E21" s="1"/>
      <c r="F21" s="1"/>
    </row>
    <row r="22" spans="1:6" ht="40.5">
      <c r="A22" s="117" t="s">
        <v>319</v>
      </c>
      <c r="B22" s="114" t="s">
        <v>320</v>
      </c>
      <c r="C22" s="1"/>
      <c r="D22" s="1"/>
      <c r="E22" s="1"/>
      <c r="F22" s="1"/>
    </row>
    <row r="23" spans="1:6" ht="20.25">
      <c r="A23" s="117" t="s">
        <v>31</v>
      </c>
      <c r="B23" s="114" t="s">
        <v>507</v>
      </c>
      <c r="C23" s="1"/>
      <c r="D23" s="1"/>
      <c r="E23" s="1"/>
      <c r="F23" s="1"/>
    </row>
    <row r="24" spans="1:6" ht="20.25">
      <c r="A24" s="117" t="s">
        <v>471</v>
      </c>
      <c r="B24" s="114" t="s">
        <v>336</v>
      </c>
      <c r="C24" s="1"/>
      <c r="D24" s="1"/>
      <c r="E24" s="1"/>
      <c r="F24" s="1"/>
    </row>
    <row r="25" spans="1:6" ht="15.75">
      <c r="A25" s="1"/>
      <c r="B25" s="1"/>
      <c r="C25" s="1"/>
      <c r="D25" s="1"/>
      <c r="E25" s="1"/>
      <c r="F25" s="1"/>
    </row>
    <row r="26" spans="1:6" ht="15.75">
      <c r="A26" s="1"/>
      <c r="B26" s="1"/>
      <c r="C26" s="1"/>
      <c r="D26" s="1"/>
      <c r="E26" s="1"/>
      <c r="F26" s="1"/>
    </row>
    <row r="27" spans="1:6" ht="15.75">
      <c r="A27" s="1"/>
      <c r="B27" s="1"/>
      <c r="C27" s="1"/>
      <c r="D27" s="1"/>
      <c r="E27" s="1"/>
      <c r="F27" s="1"/>
    </row>
    <row r="28" spans="1:6" ht="15.75">
      <c r="A28" s="1"/>
      <c r="B28" s="1"/>
      <c r="C28" s="1"/>
      <c r="D28" s="1"/>
      <c r="E28" s="1"/>
      <c r="F28" s="1"/>
    </row>
    <row r="29" spans="1:6" ht="15.75">
      <c r="A29" s="1"/>
      <c r="B29" s="1"/>
      <c r="C29" s="1"/>
      <c r="D29" s="1"/>
      <c r="E29" s="1"/>
      <c r="F29" s="1"/>
    </row>
    <row r="30" spans="1:6" ht="15.75">
      <c r="A30" s="1"/>
      <c r="B30" s="1"/>
      <c r="C30" s="1"/>
      <c r="D30" s="1"/>
      <c r="E30" s="1"/>
      <c r="F30" s="1"/>
    </row>
  </sheetData>
  <mergeCells count="4">
    <mergeCell ref="B14:B17"/>
    <mergeCell ref="A3:F3"/>
    <mergeCell ref="A1:F1"/>
    <mergeCell ref="A2:F2"/>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E75"/>
  <sheetViews>
    <sheetView workbookViewId="0" topLeftCell="A14">
      <selection activeCell="B14" sqref="B14"/>
    </sheetView>
  </sheetViews>
  <sheetFormatPr defaultColWidth="9.140625" defaultRowHeight="12.75"/>
  <cols>
    <col min="1" max="1" width="72.140625" style="0" customWidth="1"/>
    <col min="2" max="2" width="90.00390625" style="0" customWidth="1"/>
  </cols>
  <sheetData>
    <row r="1" ht="15.75">
      <c r="A1" s="39" t="s">
        <v>401</v>
      </c>
    </row>
    <row r="2" spans="1:2" ht="47.25">
      <c r="A2" s="47" t="s">
        <v>529</v>
      </c>
      <c r="B2" s="48" t="s">
        <v>217</v>
      </c>
    </row>
    <row r="3" spans="1:5" ht="15.75">
      <c r="A3" s="47"/>
      <c r="B3" s="48"/>
      <c r="E3" t="s">
        <v>313</v>
      </c>
    </row>
    <row r="4" spans="1:4" ht="12.75">
      <c r="A4" s="66" t="s">
        <v>551</v>
      </c>
      <c r="B4" s="63"/>
      <c r="C4" s="63"/>
      <c r="D4" s="63"/>
    </row>
    <row r="5" spans="1:4" ht="12.75">
      <c r="A5" s="63" t="s">
        <v>532</v>
      </c>
      <c r="B5" s="132" t="s">
        <v>530</v>
      </c>
      <c r="C5" s="63"/>
      <c r="D5" s="63"/>
    </row>
    <row r="6" spans="1:4" ht="12.75">
      <c r="A6" s="63"/>
      <c r="B6" s="133"/>
      <c r="C6" s="63"/>
      <c r="D6" s="63"/>
    </row>
    <row r="7" spans="1:4" ht="12.75">
      <c r="A7" s="63"/>
      <c r="B7" s="133"/>
      <c r="C7" s="63"/>
      <c r="D7" s="63"/>
    </row>
    <row r="8" spans="1:5" ht="12.75">
      <c r="A8" s="63"/>
      <c r="B8" s="133"/>
      <c r="C8" s="63">
        <v>320</v>
      </c>
      <c r="D8" s="63" t="s">
        <v>545</v>
      </c>
      <c r="E8" s="61">
        <f>23/210</f>
        <v>0.10952380952380952</v>
      </c>
    </row>
    <row r="9" spans="1:5" ht="12.75">
      <c r="A9" s="63" t="s">
        <v>544</v>
      </c>
      <c r="B9" s="95" t="s">
        <v>531</v>
      </c>
      <c r="C9" s="63"/>
      <c r="D9" s="63"/>
      <c r="E9" s="61"/>
    </row>
    <row r="10" spans="1:5" ht="12.75">
      <c r="A10" s="63"/>
      <c r="B10" s="63"/>
      <c r="C10" s="63"/>
      <c r="D10" s="63"/>
      <c r="E10" s="61"/>
    </row>
    <row r="11" spans="1:5" ht="12.75">
      <c r="A11" s="63" t="s">
        <v>535</v>
      </c>
      <c r="B11" s="63" t="s">
        <v>533</v>
      </c>
      <c r="C11" s="63">
        <v>129.8587</v>
      </c>
      <c r="D11" s="63" t="s">
        <v>534</v>
      </c>
      <c r="E11" s="61">
        <f>38.3/105</f>
        <v>0.36476190476190473</v>
      </c>
    </row>
    <row r="12" spans="1:5" ht="12.75">
      <c r="A12" s="63" t="s">
        <v>536</v>
      </c>
      <c r="B12" s="63" t="s">
        <v>537</v>
      </c>
      <c r="C12" s="63"/>
      <c r="D12" s="63"/>
      <c r="E12" s="61"/>
    </row>
    <row r="13" spans="1:5" ht="12.75">
      <c r="A13" s="63"/>
      <c r="B13" s="63"/>
      <c r="C13" s="63"/>
      <c r="D13" s="63"/>
      <c r="E13" s="61"/>
    </row>
    <row r="14" spans="1:5" ht="12.75">
      <c r="A14" s="63" t="s">
        <v>538</v>
      </c>
      <c r="B14" s="63" t="s">
        <v>539</v>
      </c>
      <c r="C14" s="63"/>
      <c r="D14" s="63"/>
      <c r="E14" s="61"/>
    </row>
    <row r="15" spans="1:5" ht="12.75">
      <c r="A15" s="63" t="s">
        <v>540</v>
      </c>
      <c r="B15" s="63" t="s">
        <v>541</v>
      </c>
      <c r="C15" s="63"/>
      <c r="D15" s="63"/>
      <c r="E15" s="61"/>
    </row>
    <row r="16" spans="1:5" ht="12.75">
      <c r="A16" s="63" t="s">
        <v>543</v>
      </c>
      <c r="B16" s="63" t="s">
        <v>542</v>
      </c>
      <c r="C16" s="63">
        <v>152</v>
      </c>
      <c r="D16" s="63" t="s">
        <v>534</v>
      </c>
      <c r="E16" s="61">
        <f>23/100</f>
        <v>0.23</v>
      </c>
    </row>
    <row r="17" spans="1:5" ht="12.75">
      <c r="A17" s="63"/>
      <c r="B17" s="63"/>
      <c r="C17" s="63"/>
      <c r="D17" s="63"/>
      <c r="E17" s="61"/>
    </row>
    <row r="18" spans="1:5" ht="12.75">
      <c r="A18" s="63" t="s">
        <v>547</v>
      </c>
      <c r="B18" s="63" t="s">
        <v>546</v>
      </c>
      <c r="C18" s="63"/>
      <c r="D18" s="63"/>
      <c r="E18" s="61"/>
    </row>
    <row r="19" spans="1:5" ht="12.75">
      <c r="A19" s="96">
        <v>110000</v>
      </c>
      <c r="B19" s="63" t="s">
        <v>548</v>
      </c>
      <c r="C19" s="63"/>
      <c r="D19" s="63"/>
      <c r="E19" s="61"/>
    </row>
    <row r="20" spans="1:5" ht="12.75">
      <c r="A20" s="63" t="s">
        <v>549</v>
      </c>
      <c r="B20" s="63" t="s">
        <v>550</v>
      </c>
      <c r="C20" s="63">
        <v>132</v>
      </c>
      <c r="D20" s="63" t="s">
        <v>545</v>
      </c>
      <c r="E20" s="61">
        <f>220/553</f>
        <v>0.39783001808318263</v>
      </c>
    </row>
    <row r="22" spans="1:2" ht="12.75">
      <c r="A22" t="s">
        <v>13</v>
      </c>
      <c r="B22" t="s">
        <v>14</v>
      </c>
    </row>
    <row r="23" ht="12.75">
      <c r="B23" t="s">
        <v>15</v>
      </c>
    </row>
    <row r="24" ht="12.75">
      <c r="B24" t="s">
        <v>16</v>
      </c>
    </row>
    <row r="26" spans="1:2" ht="12.75">
      <c r="A26" t="s">
        <v>645</v>
      </c>
      <c r="B26" s="3" t="s">
        <v>17</v>
      </c>
    </row>
    <row r="27" ht="12.75">
      <c r="B27" t="s">
        <v>772</v>
      </c>
    </row>
    <row r="28" ht="12.75">
      <c r="B28" t="s">
        <v>19</v>
      </c>
    </row>
    <row r="29" ht="12.75">
      <c r="B29" t="s">
        <v>20</v>
      </c>
    </row>
    <row r="30" ht="12.75">
      <c r="B30" t="s">
        <v>21</v>
      </c>
    </row>
    <row r="31" ht="12.75">
      <c r="B31" t="s">
        <v>642</v>
      </c>
    </row>
    <row r="33" ht="12.75">
      <c r="A33" s="6" t="s">
        <v>11</v>
      </c>
    </row>
    <row r="35" spans="1:2" ht="15.75">
      <c r="A35" s="134" t="s">
        <v>620</v>
      </c>
      <c r="B35" s="1" t="s">
        <v>660</v>
      </c>
    </row>
    <row r="36" ht="12.75">
      <c r="A36" s="130"/>
    </row>
    <row r="37" spans="1:2" ht="15.75">
      <c r="A37" s="130"/>
      <c r="B37" s="32" t="s">
        <v>555</v>
      </c>
    </row>
    <row r="38" spans="1:2" ht="12.75">
      <c r="A38" s="130"/>
      <c r="B38" s="135" t="s">
        <v>553</v>
      </c>
    </row>
    <row r="39" spans="1:2" ht="12.75">
      <c r="A39" s="130"/>
      <c r="B39" s="130"/>
    </row>
    <row r="40" spans="1:2" ht="12.75">
      <c r="A40" s="130"/>
      <c r="B40" s="130"/>
    </row>
    <row r="41" spans="1:2" ht="12.75">
      <c r="A41" s="130"/>
      <c r="B41" s="130"/>
    </row>
    <row r="42" spans="1:2" ht="12.75">
      <c r="A42" s="130"/>
      <c r="B42" s="130"/>
    </row>
    <row r="43" spans="1:2" ht="15.75">
      <c r="A43" s="130"/>
      <c r="B43" s="1" t="s">
        <v>552</v>
      </c>
    </row>
    <row r="44" spans="1:2" ht="15.75">
      <c r="A44" s="130"/>
      <c r="B44" s="1" t="s">
        <v>554</v>
      </c>
    </row>
    <row r="45" ht="12.75">
      <c r="A45" s="130"/>
    </row>
    <row r="46" spans="1:2" ht="15.75">
      <c r="A46" s="130"/>
      <c r="B46" s="32" t="s">
        <v>556</v>
      </c>
    </row>
    <row r="47" spans="1:2" ht="12.75">
      <c r="A47" s="130"/>
      <c r="B47" t="s">
        <v>557</v>
      </c>
    </row>
    <row r="48" spans="1:2" ht="12.75">
      <c r="A48" s="49"/>
      <c r="B48" t="s">
        <v>558</v>
      </c>
    </row>
    <row r="49" ht="12.75">
      <c r="A49" s="49"/>
    </row>
    <row r="50" spans="1:2" ht="15.75">
      <c r="A50" s="129" t="s">
        <v>18</v>
      </c>
      <c r="B50" s="1" t="s">
        <v>661</v>
      </c>
    </row>
    <row r="51" spans="1:2" ht="15.75">
      <c r="A51" s="129"/>
      <c r="B51" s="1" t="s">
        <v>662</v>
      </c>
    </row>
    <row r="52" ht="12.75">
      <c r="A52" s="49"/>
    </row>
    <row r="53" ht="12.75">
      <c r="A53" s="51" t="s">
        <v>10</v>
      </c>
    </row>
    <row r="54" spans="1:2" ht="12.75">
      <c r="A54" s="49" t="s">
        <v>621</v>
      </c>
      <c r="B54" t="s">
        <v>622</v>
      </c>
    </row>
    <row r="55" spans="1:2" ht="12.75">
      <c r="A55" s="49" t="s">
        <v>629</v>
      </c>
      <c r="B55" t="s">
        <v>623</v>
      </c>
    </row>
    <row r="56" ht="12.75">
      <c r="A56" s="49"/>
    </row>
    <row r="57" ht="12.75">
      <c r="A57" s="49"/>
    </row>
    <row r="58" spans="1:2" ht="12.75">
      <c r="A58" s="49" t="s">
        <v>630</v>
      </c>
      <c r="B58" t="s">
        <v>624</v>
      </c>
    </row>
    <row r="59" spans="1:2" ht="12.75">
      <c r="A59" s="136" t="s">
        <v>9</v>
      </c>
      <c r="B59" t="s">
        <v>625</v>
      </c>
    </row>
    <row r="60" spans="1:2" ht="12.75">
      <c r="A60" s="137"/>
      <c r="B60" t="s">
        <v>626</v>
      </c>
    </row>
    <row r="61" spans="1:2" ht="12.75">
      <c r="A61" s="137"/>
      <c r="B61" t="s">
        <v>627</v>
      </c>
    </row>
    <row r="62" spans="1:2" ht="12.75">
      <c r="A62" s="137"/>
      <c r="B62" t="s">
        <v>631</v>
      </c>
    </row>
    <row r="63" spans="1:2" ht="12.75">
      <c r="A63" s="137"/>
      <c r="B63" t="s">
        <v>628</v>
      </c>
    </row>
    <row r="64" ht="12.75">
      <c r="A64" s="137"/>
    </row>
    <row r="65" ht="12.75">
      <c r="A65" s="137"/>
    </row>
    <row r="66" ht="12.75">
      <c r="A66" s="137"/>
    </row>
    <row r="67" ht="12.75">
      <c r="A67" s="137"/>
    </row>
    <row r="68" ht="12.75">
      <c r="A68" s="49"/>
    </row>
    <row r="69" spans="1:2" ht="12.75">
      <c r="A69" t="s">
        <v>559</v>
      </c>
      <c r="B69" t="s">
        <v>560</v>
      </c>
    </row>
    <row r="71" spans="1:2" ht="27.75" customHeight="1">
      <c r="A71" s="129" t="s">
        <v>12</v>
      </c>
      <c r="B71" s="130"/>
    </row>
    <row r="72" spans="1:2" ht="12.75">
      <c r="A72" s="48"/>
      <c r="B72" s="49"/>
    </row>
    <row r="73" spans="1:2" ht="34.5" customHeight="1">
      <c r="A73" s="131" t="s">
        <v>643</v>
      </c>
      <c r="B73" s="130"/>
    </row>
    <row r="74" spans="1:2" ht="12.75">
      <c r="A74" s="48"/>
      <c r="B74" s="49"/>
    </row>
    <row r="75" spans="1:2" ht="12.75">
      <c r="A75" s="48" t="s">
        <v>644</v>
      </c>
      <c r="B75" s="49"/>
    </row>
  </sheetData>
  <mergeCells count="7">
    <mergeCell ref="A50:A51"/>
    <mergeCell ref="A71:B71"/>
    <mergeCell ref="A73:B73"/>
    <mergeCell ref="B5:B8"/>
    <mergeCell ref="A35:A47"/>
    <mergeCell ref="B38:B42"/>
    <mergeCell ref="A59:A67"/>
  </mergeCells>
  <hyperlinks>
    <hyperlink ref="B9" r:id="rId1" display="http://www.ovonic.com/PDFs/LtrstoShldrs/ecd97ltr.pdf"/>
    <hyperlink ref="B26" r:id="rId2" display="http://www.CyberTran.com"/>
  </hyperlinks>
  <printOptions/>
  <pageMargins left="0.75" right="0.75" top="1" bottom="1" header="0.5" footer="0.5"/>
  <pageSetup horizontalDpi="600" verticalDpi="600" orientation="portrait" r:id="rId3"/>
</worksheet>
</file>

<file path=xl/worksheets/sheet11.xml><?xml version="1.0" encoding="utf-8"?>
<worksheet xmlns="http://schemas.openxmlformats.org/spreadsheetml/2006/main" xmlns:r="http://schemas.openxmlformats.org/officeDocument/2006/relationships">
  <dimension ref="A1:Q455"/>
  <sheetViews>
    <sheetView workbookViewId="0" topLeftCell="A1">
      <selection activeCell="C5" sqref="C5"/>
    </sheetView>
  </sheetViews>
  <sheetFormatPr defaultColWidth="9.140625" defaultRowHeight="12.75"/>
  <cols>
    <col min="1" max="1" width="138.28125" style="0" customWidth="1"/>
    <col min="2" max="2" width="11.28125" style="0" customWidth="1"/>
    <col min="3" max="3" width="7.00390625" style="0" customWidth="1"/>
    <col min="4" max="4" width="6.421875" style="0" customWidth="1"/>
    <col min="5" max="5" width="6.140625" style="0" customWidth="1"/>
  </cols>
  <sheetData>
    <row r="1" spans="1:17" ht="110.25">
      <c r="A1" s="46" t="s">
        <v>654</v>
      </c>
      <c r="B1" s="48"/>
      <c r="C1" s="48"/>
      <c r="D1" s="48"/>
      <c r="E1" s="48"/>
      <c r="F1" s="48"/>
      <c r="G1" s="48"/>
      <c r="H1" s="48"/>
      <c r="I1" s="48"/>
      <c r="J1" s="48"/>
      <c r="K1" s="48"/>
      <c r="L1" s="48"/>
      <c r="M1" s="48"/>
      <c r="N1" s="48"/>
      <c r="O1" s="48"/>
      <c r="P1" s="48"/>
      <c r="Q1" s="48"/>
    </row>
    <row r="2" spans="1:17" ht="12.75">
      <c r="A2" s="48"/>
      <c r="B2" s="48"/>
      <c r="C2" s="48"/>
      <c r="D2" s="48"/>
      <c r="E2" s="48"/>
      <c r="F2" s="48"/>
      <c r="G2" s="48"/>
      <c r="H2" s="48"/>
      <c r="I2" s="48"/>
      <c r="J2" s="48"/>
      <c r="K2" s="48"/>
      <c r="L2" s="48"/>
      <c r="M2" s="48"/>
      <c r="N2" s="48"/>
      <c r="O2" s="48"/>
      <c r="P2" s="48"/>
      <c r="Q2" s="48"/>
    </row>
    <row r="3" spans="6:17" ht="13.5" thickBot="1">
      <c r="F3" s="48"/>
      <c r="G3" s="48"/>
      <c r="H3" s="48"/>
      <c r="I3" s="48"/>
      <c r="J3" s="48"/>
      <c r="K3" s="48"/>
      <c r="L3" s="48"/>
      <c r="M3" s="48"/>
      <c r="N3" s="48"/>
      <c r="O3" s="48"/>
      <c r="P3" s="48"/>
      <c r="Q3" s="48"/>
    </row>
    <row r="4" spans="1:17" ht="16.5" thickBot="1">
      <c r="A4" s="18" t="s">
        <v>409</v>
      </c>
      <c r="B4" s="19" t="s">
        <v>410</v>
      </c>
      <c r="C4" s="20" t="s">
        <v>411</v>
      </c>
      <c r="D4" s="20" t="s">
        <v>412</v>
      </c>
      <c r="E4" s="20" t="s">
        <v>413</v>
      </c>
      <c r="F4" s="48"/>
      <c r="G4" s="48"/>
      <c r="H4" s="48"/>
      <c r="I4" s="48"/>
      <c r="J4" s="48"/>
      <c r="K4" s="48"/>
      <c r="L4" s="48"/>
      <c r="M4" s="48"/>
      <c r="N4" s="48"/>
      <c r="O4" s="48"/>
      <c r="P4" s="48"/>
      <c r="Q4" s="48"/>
    </row>
    <row r="5" spans="1:5" ht="13.5" thickBot="1">
      <c r="A5" s="24" t="s">
        <v>414</v>
      </c>
      <c r="B5" s="25">
        <v>9</v>
      </c>
      <c r="C5" s="23" t="s">
        <v>218</v>
      </c>
      <c r="D5" s="23" t="s">
        <v>219</v>
      </c>
      <c r="E5" s="23" t="s">
        <v>220</v>
      </c>
    </row>
    <row r="6" spans="1:5" ht="13.5" thickBot="1">
      <c r="A6" s="24" t="s">
        <v>415</v>
      </c>
      <c r="B6" s="25">
        <v>11</v>
      </c>
      <c r="C6" s="23" t="s">
        <v>218</v>
      </c>
      <c r="D6" s="23" t="s">
        <v>219</v>
      </c>
      <c r="E6" s="23" t="s">
        <v>220</v>
      </c>
    </row>
    <row r="7" spans="1:5" ht="13.5" thickBot="1">
      <c r="A7" s="21" t="s">
        <v>221</v>
      </c>
      <c r="B7" s="22">
        <v>11</v>
      </c>
      <c r="C7" s="23" t="s">
        <v>218</v>
      </c>
      <c r="D7" s="23" t="s">
        <v>219</v>
      </c>
      <c r="E7" s="23" t="s">
        <v>220</v>
      </c>
    </row>
    <row r="8" spans="1:5" ht="13.5" thickBot="1">
      <c r="A8" s="21" t="s">
        <v>222</v>
      </c>
      <c r="B8" s="22">
        <v>13</v>
      </c>
      <c r="C8" s="23" t="s">
        <v>218</v>
      </c>
      <c r="D8" s="23" t="s">
        <v>219</v>
      </c>
      <c r="E8" s="23" t="s">
        <v>220</v>
      </c>
    </row>
    <row r="9" spans="1:5" ht="13.5" thickBot="1">
      <c r="A9" s="21" t="s">
        <v>223</v>
      </c>
      <c r="B9" s="22">
        <v>16</v>
      </c>
      <c r="C9" s="23" t="s">
        <v>218</v>
      </c>
      <c r="D9" s="23" t="s">
        <v>219</v>
      </c>
      <c r="E9" s="23" t="s">
        <v>220</v>
      </c>
    </row>
    <row r="10" spans="1:5" ht="13.5" thickBot="1">
      <c r="A10" s="21" t="s">
        <v>224</v>
      </c>
      <c r="B10" s="22">
        <v>24</v>
      </c>
      <c r="C10" s="23" t="s">
        <v>218</v>
      </c>
      <c r="D10" s="23" t="s">
        <v>219</v>
      </c>
      <c r="E10" s="23" t="s">
        <v>220</v>
      </c>
    </row>
    <row r="11" spans="1:5" ht="13.5" thickBot="1">
      <c r="A11" s="21" t="s">
        <v>225</v>
      </c>
      <c r="B11" s="22">
        <v>26</v>
      </c>
      <c r="C11" s="23" t="s">
        <v>218</v>
      </c>
      <c r="D11" s="23" t="s">
        <v>219</v>
      </c>
      <c r="E11" s="23" t="s">
        <v>220</v>
      </c>
    </row>
    <row r="12" spans="1:5" ht="13.5" thickBot="1">
      <c r="A12" s="21" t="s">
        <v>226</v>
      </c>
      <c r="B12" s="22">
        <v>28</v>
      </c>
      <c r="C12" s="23" t="s">
        <v>218</v>
      </c>
      <c r="D12" s="23" t="s">
        <v>219</v>
      </c>
      <c r="E12" s="23" t="s">
        <v>220</v>
      </c>
    </row>
    <row r="13" spans="1:5" ht="13.5" thickBot="1">
      <c r="A13" s="21" t="s">
        <v>402</v>
      </c>
      <c r="B13" s="22">
        <v>31</v>
      </c>
      <c r="C13" s="23" t="s">
        <v>218</v>
      </c>
      <c r="D13" s="23" t="s">
        <v>219</v>
      </c>
      <c r="E13" s="23" t="s">
        <v>220</v>
      </c>
    </row>
    <row r="14" spans="1:5" ht="13.5" thickBot="1">
      <c r="A14" s="21" t="s">
        <v>403</v>
      </c>
      <c r="B14" s="22">
        <v>39</v>
      </c>
      <c r="C14" s="23" t="s">
        <v>218</v>
      </c>
      <c r="D14" s="23" t="s">
        <v>219</v>
      </c>
      <c r="E14" s="23" t="s">
        <v>220</v>
      </c>
    </row>
    <row r="15" spans="1:5" ht="13.5" thickBot="1">
      <c r="A15" s="21" t="s">
        <v>404</v>
      </c>
      <c r="B15" s="22">
        <v>40</v>
      </c>
      <c r="C15" s="23" t="s">
        <v>218</v>
      </c>
      <c r="D15" s="23" t="s">
        <v>219</v>
      </c>
      <c r="E15" s="23" t="s">
        <v>220</v>
      </c>
    </row>
    <row r="16" spans="1:5" ht="13.5" thickBot="1">
      <c r="A16" s="21" t="s">
        <v>405</v>
      </c>
      <c r="B16" s="22">
        <v>48</v>
      </c>
      <c r="C16" s="23" t="s">
        <v>218</v>
      </c>
      <c r="D16" s="23" t="s">
        <v>219</v>
      </c>
      <c r="E16" s="23" t="s">
        <v>220</v>
      </c>
    </row>
    <row r="17" spans="1:5" ht="13.5" thickBot="1">
      <c r="A17" s="21" t="s">
        <v>406</v>
      </c>
      <c r="B17" s="22">
        <v>55</v>
      </c>
      <c r="C17" s="23" t="s">
        <v>218</v>
      </c>
      <c r="D17" s="23" t="s">
        <v>219</v>
      </c>
      <c r="E17" s="23" t="s">
        <v>220</v>
      </c>
    </row>
    <row r="18" spans="1:5" ht="13.5" thickBot="1">
      <c r="A18" s="21" t="s">
        <v>407</v>
      </c>
      <c r="B18" s="22">
        <v>63</v>
      </c>
      <c r="C18" s="23" t="s">
        <v>218</v>
      </c>
      <c r="D18" s="23" t="s">
        <v>219</v>
      </c>
      <c r="E18" s="23" t="s">
        <v>220</v>
      </c>
    </row>
    <row r="19" spans="1:5" ht="13.5" thickBot="1">
      <c r="A19" s="21" t="s">
        <v>408</v>
      </c>
      <c r="B19" s="22">
        <v>65</v>
      </c>
      <c r="C19" s="23" t="s">
        <v>218</v>
      </c>
      <c r="D19" s="23" t="s">
        <v>219</v>
      </c>
      <c r="E19" s="23" t="s">
        <v>220</v>
      </c>
    </row>
    <row r="27" ht="12.75">
      <c r="A27" s="52"/>
    </row>
    <row r="29" ht="12.75">
      <c r="A29" s="52"/>
    </row>
    <row r="31" ht="12.75">
      <c r="A31" s="52"/>
    </row>
    <row r="33" ht="12.75">
      <c r="A33" s="52"/>
    </row>
    <row r="35" ht="12.75">
      <c r="A35" s="52"/>
    </row>
    <row r="37" ht="12.75">
      <c r="A37" s="52"/>
    </row>
    <row r="41" ht="12.75">
      <c r="A41" s="52"/>
    </row>
    <row r="45" ht="12.75">
      <c r="A45" s="52"/>
    </row>
    <row r="60" ht="12.75">
      <c r="A60" s="52"/>
    </row>
    <row r="62" ht="12.75">
      <c r="A62" s="52"/>
    </row>
    <row r="68" ht="12.75">
      <c r="A68" s="52"/>
    </row>
    <row r="76" ht="12.75">
      <c r="A76" s="52"/>
    </row>
    <row r="78" ht="12.75">
      <c r="A78" s="52"/>
    </row>
    <row r="83" ht="12.75">
      <c r="A83" s="52"/>
    </row>
    <row r="87" ht="12.75">
      <c r="A87" s="52"/>
    </row>
    <row r="89" ht="12.75">
      <c r="A89" s="52"/>
    </row>
    <row r="92" ht="12.75">
      <c r="A92" s="52"/>
    </row>
    <row r="94" ht="12.75">
      <c r="A94" s="52"/>
    </row>
    <row r="96" ht="12.75">
      <c r="A96" s="52"/>
    </row>
    <row r="98" ht="12.75">
      <c r="A98" s="52"/>
    </row>
    <row r="107" ht="12.75">
      <c r="A107" s="52"/>
    </row>
    <row r="108" ht="12.75">
      <c r="E108" s="2">
        <v>58497083</v>
      </c>
    </row>
    <row r="109" ht="12.75">
      <c r="C109" s="2"/>
    </row>
    <row r="112" ht="12.75">
      <c r="A112" s="52"/>
    </row>
    <row r="116" ht="12.75">
      <c r="A116" s="52"/>
    </row>
    <row r="117" ht="12.75">
      <c r="D117" s="2">
        <v>1348840594</v>
      </c>
    </row>
    <row r="118" ht="12.75">
      <c r="D118" s="2">
        <v>674247980</v>
      </c>
    </row>
    <row r="121" ht="12.75">
      <c r="A121" s="52"/>
    </row>
    <row r="127" ht="12.75">
      <c r="A127" s="52"/>
    </row>
    <row r="133" ht="12.75">
      <c r="A133" s="52"/>
    </row>
    <row r="141" ht="12.75">
      <c r="A141" s="52"/>
    </row>
    <row r="145" ht="12.75">
      <c r="A145" s="52"/>
    </row>
    <row r="146" ht="12.75">
      <c r="A146" s="52"/>
    </row>
    <row r="148" ht="12.75">
      <c r="A148" s="52"/>
    </row>
    <row r="155" ht="12.75">
      <c r="A155" s="52"/>
    </row>
    <row r="170" ht="12.75">
      <c r="A170" s="52"/>
    </row>
    <row r="173" ht="12.75">
      <c r="A173" s="52"/>
    </row>
    <row r="177" ht="12.75">
      <c r="A177" s="52"/>
    </row>
    <row r="184" ht="12.75">
      <c r="A184" s="52"/>
    </row>
    <row r="192" ht="12.75">
      <c r="A192" s="52"/>
    </row>
    <row r="194" ht="12.75">
      <c r="A194" s="52"/>
    </row>
    <row r="198" ht="12.75">
      <c r="A198" s="52"/>
    </row>
    <row r="200" ht="12.75">
      <c r="A200" s="52"/>
    </row>
    <row r="204" ht="12.75">
      <c r="A204" s="52"/>
    </row>
    <row r="210" ht="12.75">
      <c r="A210" s="52"/>
    </row>
    <row r="215" ht="12.75">
      <c r="A215" s="52"/>
    </row>
    <row r="217" ht="12.75">
      <c r="A217" s="52"/>
    </row>
    <row r="220" ht="12.75">
      <c r="A220" s="52"/>
    </row>
    <row r="224" ht="12.75">
      <c r="A224" s="52"/>
    </row>
    <row r="230" ht="12.75">
      <c r="B230" s="52"/>
    </row>
    <row r="231" ht="12.75">
      <c r="B231" s="52"/>
    </row>
    <row r="233" ht="12.75">
      <c r="A233" s="52"/>
    </row>
    <row r="241" ht="12.75">
      <c r="A241" s="52"/>
    </row>
    <row r="243" ht="12.75">
      <c r="A243" s="52"/>
    </row>
    <row r="246" ht="12.75">
      <c r="A246" s="52"/>
    </row>
    <row r="249" ht="12.75">
      <c r="A249" s="52"/>
    </row>
    <row r="252" ht="12.75">
      <c r="A252" s="52"/>
    </row>
    <row r="258" ht="12.75">
      <c r="A258" s="52"/>
    </row>
    <row r="264" ht="12.75">
      <c r="A264" s="52"/>
    </row>
    <row r="276" ht="12.75">
      <c r="A276" s="52"/>
    </row>
    <row r="278" ht="12.75">
      <c r="A278" s="52"/>
    </row>
    <row r="282" ht="12.75">
      <c r="A282" s="52"/>
    </row>
    <row r="286" ht="12.75">
      <c r="A286" s="52"/>
    </row>
    <row r="295" ht="12.75">
      <c r="A295" s="52"/>
    </row>
    <row r="303" ht="12.75">
      <c r="A303" s="52"/>
    </row>
    <row r="307" ht="12.75">
      <c r="A307" s="52"/>
    </row>
    <row r="313" ht="12.75">
      <c r="A313" s="52"/>
    </row>
    <row r="317" ht="12.75">
      <c r="A317" s="52"/>
    </row>
    <row r="323" ht="12.75">
      <c r="A323" s="52"/>
    </row>
    <row r="330" ht="12.75">
      <c r="A330" s="52"/>
    </row>
    <row r="335" ht="12.75">
      <c r="A335" s="52"/>
    </row>
    <row r="338" ht="12.75">
      <c r="A338" s="52"/>
    </row>
    <row r="350" ht="12.75">
      <c r="A350" s="52"/>
    </row>
    <row r="354" ht="12.75">
      <c r="A354" s="52"/>
    </row>
    <row r="356" ht="12.75">
      <c r="A356" s="52"/>
    </row>
    <row r="358" ht="12.75">
      <c r="A358" s="52"/>
    </row>
    <row r="360" ht="12.75">
      <c r="A360" s="52"/>
    </row>
    <row r="362" ht="12.75">
      <c r="A362" s="52"/>
    </row>
    <row r="364" ht="12.75">
      <c r="A364" s="52"/>
    </row>
    <row r="366" ht="12.75">
      <c r="A366" s="52"/>
    </row>
    <row r="368" ht="12.75">
      <c r="A368" s="52"/>
    </row>
    <row r="370" ht="12.75">
      <c r="A370" s="52"/>
    </row>
    <row r="372" ht="12.75">
      <c r="A372" s="52"/>
    </row>
    <row r="374" ht="12.75">
      <c r="A374" s="52"/>
    </row>
    <row r="376" ht="12.75">
      <c r="A376" s="52"/>
    </row>
    <row r="378" ht="12.75">
      <c r="A378" s="52"/>
    </row>
    <row r="380" ht="12.75">
      <c r="A380" s="52"/>
    </row>
    <row r="382" ht="12.75">
      <c r="A382" s="52"/>
    </row>
    <row r="384" ht="12.75">
      <c r="A384" s="52"/>
    </row>
    <row r="386" ht="12.75">
      <c r="A386" s="52"/>
    </row>
    <row r="389" ht="12.75">
      <c r="A389" s="52"/>
    </row>
    <row r="392" ht="12.75">
      <c r="A392" s="52"/>
    </row>
    <row r="396" ht="12.75">
      <c r="A396" s="52"/>
    </row>
    <row r="398" ht="12.75">
      <c r="A398" s="52"/>
    </row>
    <row r="401" ht="12.75">
      <c r="A401" s="52"/>
    </row>
    <row r="403" ht="12.75">
      <c r="A403" s="52"/>
    </row>
    <row r="407" ht="12.75">
      <c r="A407" s="52"/>
    </row>
    <row r="412" ht="12.75">
      <c r="A412" s="52"/>
    </row>
    <row r="414" ht="12.75">
      <c r="A414" s="52"/>
    </row>
    <row r="416" ht="12.75">
      <c r="A416" s="52"/>
    </row>
    <row r="418" ht="12.75">
      <c r="A418" s="52"/>
    </row>
    <row r="420" ht="12.75">
      <c r="A420" s="52"/>
    </row>
    <row r="422" ht="12.75">
      <c r="A422" s="52"/>
    </row>
    <row r="424" ht="12.75">
      <c r="A424" s="52"/>
    </row>
    <row r="426" ht="12.75">
      <c r="A426" s="52"/>
    </row>
    <row r="431" ht="12.75">
      <c r="A431" s="52"/>
    </row>
    <row r="433" ht="12.75">
      <c r="A433" s="52"/>
    </row>
    <row r="437" ht="12.75">
      <c r="A437" s="52"/>
    </row>
    <row r="439" ht="12.75">
      <c r="A439" s="52"/>
    </row>
    <row r="443" ht="12.75">
      <c r="A443" s="52"/>
    </row>
    <row r="445" ht="12.75">
      <c r="A445" s="52"/>
    </row>
    <row r="447" ht="12.75">
      <c r="A447" s="52"/>
    </row>
    <row r="449" ht="12.75">
      <c r="A449" s="52"/>
    </row>
    <row r="451" ht="12.75">
      <c r="A451" s="52"/>
    </row>
    <row r="453" ht="12.75">
      <c r="A453" s="52"/>
    </row>
    <row r="455" ht="12.75">
      <c r="A455" s="52"/>
    </row>
  </sheetData>
  <hyperlinks>
    <hyperlink ref="C5" r:id="rId1" display="http://www.nohairshirts.com/chap2.doc"/>
    <hyperlink ref="D5" r:id="rId2" display="http://www.nohairshirts.com/chap2.pdf"/>
    <hyperlink ref="E5" r:id="rId3" display="http://www.nohairshirts.com/chap2.php"/>
    <hyperlink ref="C6" r:id="rId4" display="http://www.nohairshirts.com/chap3.doc"/>
    <hyperlink ref="D6" r:id="rId5" display="http://www.nohairshirts.com/chap3.pdf"/>
    <hyperlink ref="E6" r:id="rId6" display="http://www.nohairshirts.com/chap3.php"/>
    <hyperlink ref="C7" r:id="rId7" display="http://www.nohairshirts.com/chap3.doc"/>
    <hyperlink ref="D7" r:id="rId8" display="http://www.nohairshirts.com/chap3.pdf"/>
    <hyperlink ref="E7" r:id="rId9" display="http://www.nohairshirts.com/chap3.php"/>
    <hyperlink ref="C8" r:id="rId10" display="http://www.nohairshirts.com/chap4.doc"/>
    <hyperlink ref="D8" r:id="rId11" display="http://www.nohairshirts.com/chap4.pdf"/>
    <hyperlink ref="E8" r:id="rId12" display="http://www.nohairshirts.com/chap4.php"/>
    <hyperlink ref="C9" r:id="rId13" display="http://www.nohairshirts.com/chap5.doc"/>
    <hyperlink ref="D9" r:id="rId14" display="http://www.nohairshirts.com/chap5.pdf"/>
    <hyperlink ref="E9" r:id="rId15" display="http://www.nohairshirts.com/chap5.php"/>
    <hyperlink ref="C10" r:id="rId16" display="http://www.nohairshirts.com/chap6.doc"/>
    <hyperlink ref="D10" r:id="rId17" display="http://www.nohairshirts.com/chap6.pdf"/>
    <hyperlink ref="E10" r:id="rId18" display="http://www.nohairshirts.com/chap6..php"/>
    <hyperlink ref="C11" r:id="rId19" display="http://www.nohairshirts.com/chap7.doc"/>
    <hyperlink ref="D11" r:id="rId20" display="http://www.nohairshirts.com/chap7.pdf"/>
    <hyperlink ref="E11" r:id="rId21" display="http://www.nohairshirts.com/chap7.php"/>
    <hyperlink ref="C12" r:id="rId22" display="http://www.nohairshirts.com/chap8.doc"/>
    <hyperlink ref="D12" r:id="rId23" display="http://www.nohairshirts.com/chap8.pdf"/>
    <hyperlink ref="E12" r:id="rId24" display="http://www.nohairshirts.com/chap8.php"/>
    <hyperlink ref="C13" r:id="rId25" display="http://www.nohairshirts.com/chap9.doc"/>
    <hyperlink ref="D13" r:id="rId26" display="http://www.nohairshirts.com/chap9.pdf"/>
    <hyperlink ref="E13" r:id="rId27" display="http://www.nohairshirts.com/chap9.php"/>
    <hyperlink ref="C14" r:id="rId28" display="http://www.nohairshirts.com/chap10.doc"/>
    <hyperlink ref="D14" r:id="rId29" display="http://www.nohairshirts.com/chap10.pdf"/>
    <hyperlink ref="E14" r:id="rId30" display="http://www.nohairshirts.com/chap10.php"/>
    <hyperlink ref="C15" r:id="rId31" display="http://www.nohairshirts.com/chap11.doc"/>
    <hyperlink ref="D15" r:id="rId32" display="http://www.nohairshirts.com/chap11.pdf"/>
    <hyperlink ref="E15" r:id="rId33" display="http://www.nohairshirts.com/chap11.php"/>
    <hyperlink ref="C16" r:id="rId34" display="http://www.nohairshirts.com/chap12.doc"/>
    <hyperlink ref="D16" r:id="rId35" display="http://www.nohairshirts.com/chap12.pdf"/>
    <hyperlink ref="E16" r:id="rId36" display="http://www.nohairshirts.com/chap12.php"/>
    <hyperlink ref="C17" r:id="rId37" display="http://www.nohairshirts.com/chap13.doc"/>
    <hyperlink ref="D17" r:id="rId38" display="http://www.nohairshirts.com/chap13.pdf"/>
    <hyperlink ref="E17" r:id="rId39" display="http://www.nohairshirts.com/chap13.php"/>
    <hyperlink ref="C18" r:id="rId40" display="http://www.nohairshirts.com/chap14.doc"/>
    <hyperlink ref="D18" r:id="rId41" display="http://www.nohairshirts.com/chap14.pdf"/>
    <hyperlink ref="E18" r:id="rId42" display="http://www.nohairshirts.com/chap14.php"/>
    <hyperlink ref="C19" r:id="rId43" display="http://www.nohairshirts.com/chap15.doc"/>
    <hyperlink ref="D19" r:id="rId44" display="http://www.nohairshirts.com/chap15.pdf"/>
    <hyperlink ref="E19" r:id="rId45" display="http://www.nohairshirts.com/chap15.php"/>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A23"/>
  <sheetViews>
    <sheetView workbookViewId="0" topLeftCell="A1">
      <selection activeCell="A3" sqref="A3"/>
    </sheetView>
  </sheetViews>
  <sheetFormatPr defaultColWidth="9.140625" defaultRowHeight="12.75"/>
  <cols>
    <col min="1" max="1" width="142.57421875" style="0" customWidth="1"/>
  </cols>
  <sheetData>
    <row r="2" ht="18.75">
      <c r="A2" s="57" t="s">
        <v>594</v>
      </c>
    </row>
    <row r="3" ht="63">
      <c r="A3" s="46" t="s">
        <v>595</v>
      </c>
    </row>
    <row r="4" ht="15.75">
      <c r="A4" s="46"/>
    </row>
    <row r="5" ht="110.25">
      <c r="A5" s="46" t="s">
        <v>28</v>
      </c>
    </row>
    <row r="6" ht="15.75">
      <c r="A6" s="46"/>
    </row>
    <row r="7" ht="94.5">
      <c r="A7" s="46" t="s">
        <v>29</v>
      </c>
    </row>
    <row r="8" ht="15.75">
      <c r="A8" s="46" t="s">
        <v>596</v>
      </c>
    </row>
    <row r="9" ht="78.75">
      <c r="A9" s="46" t="s">
        <v>597</v>
      </c>
    </row>
    <row r="10" ht="15.75">
      <c r="A10" s="46"/>
    </row>
    <row r="11" ht="78.75">
      <c r="A11" s="46" t="s">
        <v>598</v>
      </c>
    </row>
    <row r="12" ht="15.75">
      <c r="A12" s="46"/>
    </row>
    <row r="13" ht="63">
      <c r="A13" s="46" t="s">
        <v>599</v>
      </c>
    </row>
    <row r="14" ht="15.75">
      <c r="A14" s="46"/>
    </row>
    <row r="15" ht="15.75">
      <c r="A15" s="46" t="s">
        <v>24</v>
      </c>
    </row>
    <row r="16" ht="15.75">
      <c r="A16" s="46"/>
    </row>
    <row r="17" ht="63">
      <c r="A17" s="46" t="s">
        <v>25</v>
      </c>
    </row>
    <row r="18" ht="15.75">
      <c r="A18" s="46"/>
    </row>
    <row r="19" ht="47.25">
      <c r="A19" s="46" t="s">
        <v>26</v>
      </c>
    </row>
    <row r="20" ht="15.75">
      <c r="A20" s="46"/>
    </row>
    <row r="21" ht="127.5" customHeight="1">
      <c r="A21" s="46" t="s">
        <v>27</v>
      </c>
    </row>
    <row r="22" ht="15.75">
      <c r="A22" s="46"/>
    </row>
    <row r="23" ht="31.5">
      <c r="A23" s="46" t="s">
        <v>35</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90"/>
  <sheetViews>
    <sheetView workbookViewId="0" topLeftCell="A41">
      <selection activeCell="C70" sqref="C70"/>
    </sheetView>
  </sheetViews>
  <sheetFormatPr defaultColWidth="9.140625" defaultRowHeight="12.75"/>
  <cols>
    <col min="3" max="3" width="109.8515625" style="0" customWidth="1"/>
    <col min="4" max="4" width="28.28125" style="0" customWidth="1"/>
    <col min="8" max="8" width="9.28125" style="0" customWidth="1"/>
    <col min="11" max="11" width="10.8515625" style="0" customWidth="1"/>
  </cols>
  <sheetData>
    <row r="1" spans="1:8" ht="18">
      <c r="A1" s="138" t="s">
        <v>639</v>
      </c>
      <c r="B1" s="138"/>
      <c r="C1" s="138"/>
      <c r="D1" s="138"/>
      <c r="E1" s="138"/>
      <c r="F1" s="138"/>
      <c r="G1" s="138"/>
      <c r="H1" s="138"/>
    </row>
    <row r="2" ht="15.75">
      <c r="A2" s="1" t="s">
        <v>302</v>
      </c>
    </row>
    <row r="4" spans="1:8" ht="13.5">
      <c r="A4" s="131" t="s">
        <v>22</v>
      </c>
      <c r="B4" s="130"/>
      <c r="C4" s="130"/>
      <c r="D4" s="130"/>
      <c r="E4" s="130"/>
      <c r="F4" s="130"/>
      <c r="G4" s="130"/>
      <c r="H4" s="130"/>
    </row>
    <row r="5" ht="15.75">
      <c r="A5" s="1"/>
    </row>
    <row r="6" spans="1:8" ht="83.25" customHeight="1">
      <c r="A6" s="131" t="s">
        <v>632</v>
      </c>
      <c r="B6" s="130"/>
      <c r="C6" s="130"/>
      <c r="D6" s="130"/>
      <c r="E6" s="130"/>
      <c r="F6" s="130"/>
      <c r="G6" s="130"/>
      <c r="H6" s="130"/>
    </row>
    <row r="7" ht="15.75">
      <c r="A7" s="1"/>
    </row>
    <row r="8" spans="1:8" ht="13.5">
      <c r="A8" s="131" t="s">
        <v>23</v>
      </c>
      <c r="B8" s="130"/>
      <c r="C8" s="130"/>
      <c r="D8" s="130"/>
      <c r="E8" s="130"/>
      <c r="F8" s="130"/>
      <c r="G8" s="130"/>
      <c r="H8" s="130"/>
    </row>
    <row r="9" ht="15.75">
      <c r="A9" s="1"/>
    </row>
    <row r="10" spans="1:8" ht="54" customHeight="1">
      <c r="A10" s="131" t="s">
        <v>634</v>
      </c>
      <c r="B10" s="130"/>
      <c r="C10" s="130"/>
      <c r="D10" s="130"/>
      <c r="E10" s="130"/>
      <c r="F10" s="130"/>
      <c r="G10" s="130"/>
      <c r="H10" s="130"/>
    </row>
    <row r="11" ht="15.75">
      <c r="A11" s="1"/>
    </row>
    <row r="12" spans="1:8" ht="33" customHeight="1">
      <c r="A12" s="131" t="s">
        <v>635</v>
      </c>
      <c r="B12" s="130"/>
      <c r="C12" s="130"/>
      <c r="D12" s="130"/>
      <c r="E12" s="130"/>
      <c r="F12" s="130"/>
      <c r="G12" s="130"/>
      <c r="H12" s="130"/>
    </row>
    <row r="13" ht="15.75">
      <c r="A13" s="1"/>
    </row>
    <row r="14" spans="1:8" ht="66.75" customHeight="1">
      <c r="A14" s="131" t="s">
        <v>636</v>
      </c>
      <c r="B14" s="130"/>
      <c r="C14" s="130"/>
      <c r="D14" s="130"/>
      <c r="E14" s="130"/>
      <c r="F14" s="130"/>
      <c r="G14" s="130"/>
      <c r="H14" s="130"/>
    </row>
    <row r="15" ht="15.75">
      <c r="A15" s="1"/>
    </row>
    <row r="16" spans="1:8" ht="49.5" customHeight="1">
      <c r="A16" s="131" t="s">
        <v>637</v>
      </c>
      <c r="B16" s="130"/>
      <c r="C16" s="130"/>
      <c r="D16" s="130"/>
      <c r="E16" s="130"/>
      <c r="F16" s="130"/>
      <c r="G16" s="130"/>
      <c r="H16" s="130"/>
    </row>
    <row r="17" ht="15.75">
      <c r="A17" s="1"/>
    </row>
    <row r="18" spans="1:8" ht="70.5" customHeight="1">
      <c r="A18" s="134" t="s">
        <v>638</v>
      </c>
      <c r="B18" s="129"/>
      <c r="C18" s="129"/>
      <c r="D18" s="129"/>
      <c r="E18" s="129"/>
      <c r="F18" s="129"/>
      <c r="G18" s="129"/>
      <c r="H18" s="129"/>
    </row>
    <row r="20" spans="1:8" ht="65.25" customHeight="1">
      <c r="A20" s="131" t="s">
        <v>281</v>
      </c>
      <c r="B20" s="131"/>
      <c r="C20" s="131"/>
      <c r="D20" s="131"/>
      <c r="E20" s="131"/>
      <c r="F20" s="131"/>
      <c r="G20" s="131"/>
      <c r="H20" s="131"/>
    </row>
    <row r="23" spans="3:4" ht="12.75">
      <c r="C23" s="63" t="s">
        <v>152</v>
      </c>
      <c r="D23" s="63"/>
    </row>
    <row r="24" spans="3:5" ht="12.75">
      <c r="C24" s="63" t="s">
        <v>670</v>
      </c>
      <c r="D24" s="64">
        <v>15000000</v>
      </c>
      <c r="E24" t="s">
        <v>669</v>
      </c>
    </row>
    <row r="25" spans="3:5" ht="12.75">
      <c r="C25" s="63" t="s">
        <v>733</v>
      </c>
      <c r="D25" s="64">
        <v>215252.3</v>
      </c>
      <c r="E25" t="s">
        <v>732</v>
      </c>
    </row>
    <row r="26" spans="3:4" ht="12.75">
      <c r="C26" s="63" t="s">
        <v>671</v>
      </c>
      <c r="D26" s="64">
        <f>D24*D25</f>
        <v>3228784500000</v>
      </c>
    </row>
    <row r="27" spans="3:5" ht="12.75">
      <c r="C27" s="63" t="s">
        <v>734</v>
      </c>
      <c r="D27" s="63"/>
      <c r="E27" t="s">
        <v>735</v>
      </c>
    </row>
    <row r="28" spans="3:4" ht="12.75">
      <c r="C28" s="63"/>
      <c r="D28" s="63"/>
    </row>
    <row r="29" spans="3:4" ht="12.75">
      <c r="C29" s="63"/>
      <c r="D29" s="63"/>
    </row>
    <row r="30" spans="3:4" ht="12.75">
      <c r="C30" s="63" t="s">
        <v>775</v>
      </c>
      <c r="D30" s="63" t="s">
        <v>772</v>
      </c>
    </row>
    <row r="31" spans="3:4" ht="12.75">
      <c r="C31" s="63"/>
      <c r="D31" s="63" t="s">
        <v>773</v>
      </c>
    </row>
    <row r="32" spans="3:4" ht="12.75">
      <c r="C32" s="63"/>
      <c r="D32" s="63" t="s">
        <v>774</v>
      </c>
    </row>
    <row r="33" spans="3:4" ht="12.75">
      <c r="C33" s="63" t="s">
        <v>153</v>
      </c>
      <c r="D33" s="65">
        <f>PMT(0.05,20,$D$26)</f>
        <v>-259086021761.20267</v>
      </c>
    </row>
    <row r="34" spans="3:4" ht="12.75">
      <c r="C34" s="63" t="s">
        <v>154</v>
      </c>
      <c r="D34" s="65">
        <f>PMT(0.05,30,$D$26)</f>
        <v>-210037065289.9533</v>
      </c>
    </row>
    <row r="35" spans="3:4" ht="12.75">
      <c r="C35" s="63" t="s">
        <v>640</v>
      </c>
      <c r="D35" s="65">
        <f>PMT(0.05,50,$D$26)</f>
        <v>-176862274496.94592</v>
      </c>
    </row>
    <row r="36" spans="3:4" ht="12.75">
      <c r="C36" s="63"/>
      <c r="D36" s="65"/>
    </row>
    <row r="37" spans="3:4" ht="12.75">
      <c r="C37" s="63" t="s">
        <v>784</v>
      </c>
      <c r="D37" s="63"/>
    </row>
    <row r="38" spans="3:4" ht="12.75">
      <c r="C38" s="63" t="s">
        <v>785</v>
      </c>
      <c r="D38" s="63"/>
    </row>
    <row r="39" spans="3:4" ht="12.75">
      <c r="C39" s="63" t="s">
        <v>786</v>
      </c>
      <c r="D39" s="63"/>
    </row>
    <row r="40" spans="3:4" ht="12.75">
      <c r="C40" s="63" t="s">
        <v>787</v>
      </c>
      <c r="D40" s="63"/>
    </row>
    <row r="41" spans="3:4" ht="12.75">
      <c r="C41" s="63" t="s">
        <v>788</v>
      </c>
      <c r="D41" s="63"/>
    </row>
    <row r="42" spans="3:4" ht="12.75">
      <c r="C42" s="63" t="s">
        <v>783</v>
      </c>
      <c r="D42" s="63"/>
    </row>
    <row r="43" spans="3:4" ht="12.75">
      <c r="C43" s="63" t="s">
        <v>782</v>
      </c>
      <c r="D43" s="63"/>
    </row>
    <row r="44" spans="3:4" ht="12.75">
      <c r="C44" s="63" t="s">
        <v>778</v>
      </c>
      <c r="D44" s="64">
        <v>165100000000</v>
      </c>
    </row>
    <row r="45" spans="3:4" ht="12.75">
      <c r="C45" s="63" t="s">
        <v>779</v>
      </c>
      <c r="D45" s="64">
        <v>209300000000</v>
      </c>
    </row>
    <row r="46" spans="3:4" ht="12.75">
      <c r="C46" s="63" t="s">
        <v>780</v>
      </c>
      <c r="D46" s="64">
        <v>59800000000</v>
      </c>
    </row>
    <row r="47" spans="3:4" ht="12.75">
      <c r="C47" s="63" t="s">
        <v>781</v>
      </c>
      <c r="D47" s="64">
        <v>208400000000</v>
      </c>
    </row>
    <row r="48" spans="3:4" ht="12.75">
      <c r="C48" s="66" t="s">
        <v>790</v>
      </c>
      <c r="D48" s="67">
        <f>SUM(D44:D47)</f>
        <v>642600000000</v>
      </c>
    </row>
    <row r="49" spans="3:12" ht="12.75">
      <c r="C49" s="66" t="s">
        <v>791</v>
      </c>
      <c r="D49" s="67">
        <v>374000000000</v>
      </c>
      <c r="F49" t="s">
        <v>776</v>
      </c>
      <c r="L49" t="s">
        <v>777</v>
      </c>
    </row>
    <row r="50" spans="3:6" ht="12.75">
      <c r="C50" s="66" t="s">
        <v>303</v>
      </c>
      <c r="D50" s="67">
        <f>'Transport Safety'!E35*1000000000</f>
        <v>238835517940.15976</v>
      </c>
      <c r="F50" t="s">
        <v>304</v>
      </c>
    </row>
    <row r="51" spans="3:4" ht="12.75">
      <c r="C51" s="68" t="s">
        <v>671</v>
      </c>
      <c r="D51" s="69">
        <f>SUM(D48:D50)</f>
        <v>1255435517940.1597</v>
      </c>
    </row>
    <row r="53" spans="3:4" ht="12.75">
      <c r="C53" s="63" t="s">
        <v>793</v>
      </c>
      <c r="D53" s="63"/>
    </row>
    <row r="54" spans="3:4" ht="12.75">
      <c r="C54" s="63" t="s">
        <v>792</v>
      </c>
      <c r="D54" s="63"/>
    </row>
    <row r="55" spans="3:4" ht="12.75">
      <c r="C55" s="63" t="s">
        <v>145</v>
      </c>
      <c r="D55" s="70">
        <f>0.49*0.66666666666666*D51</f>
        <v>410108935860.44806</v>
      </c>
    </row>
    <row r="56" spans="3:4" ht="12.75">
      <c r="C56" s="63" t="s">
        <v>146</v>
      </c>
      <c r="D56" s="70">
        <f>D51*0.49*0.5</f>
        <v>307581701895.3391</v>
      </c>
    </row>
    <row r="57" spans="3:5" ht="12.75">
      <c r="C57" s="63" t="s">
        <v>305</v>
      </c>
      <c r="D57" s="70">
        <f>0.35*0.49*D51</f>
        <v>215307191326.73737</v>
      </c>
      <c r="E57" s="30"/>
    </row>
    <row r="58" spans="3:5" ht="12.75">
      <c r="C58" s="63" t="s">
        <v>306</v>
      </c>
      <c r="D58" s="70">
        <f>0.29*0.49*D51</f>
        <v>178397387099.29666</v>
      </c>
      <c r="E58" s="30"/>
    </row>
    <row r="59" spans="3:5" ht="34.5" customHeight="1">
      <c r="C59" s="134" t="s">
        <v>307</v>
      </c>
      <c r="D59" s="134"/>
      <c r="E59" s="134"/>
    </row>
    <row r="61" ht="12.75">
      <c r="C61" t="s">
        <v>155</v>
      </c>
    </row>
    <row r="62" ht="12.75">
      <c r="C62" t="s">
        <v>156</v>
      </c>
    </row>
    <row r="63" ht="12.75">
      <c r="C63" t="s">
        <v>157</v>
      </c>
    </row>
    <row r="64" spans="3:4" ht="12.75">
      <c r="C64" t="s">
        <v>308</v>
      </c>
      <c r="D64" s="2">
        <v>750000000000</v>
      </c>
    </row>
    <row r="65" spans="3:4" ht="12.75">
      <c r="C65" s="130" t="s">
        <v>641</v>
      </c>
      <c r="D65" s="123"/>
    </row>
    <row r="66" spans="3:4" ht="12.75">
      <c r="C66" t="s">
        <v>309</v>
      </c>
      <c r="D66" s="17"/>
    </row>
    <row r="67" ht="12.75">
      <c r="C67" t="s">
        <v>310</v>
      </c>
    </row>
    <row r="87" ht="12.75">
      <c r="D87" s="2"/>
    </row>
    <row r="88" ht="12.75">
      <c r="D88" s="17"/>
    </row>
    <row r="89" ht="12.75">
      <c r="D89" s="2"/>
    </row>
    <row r="90" ht="12.75">
      <c r="D90" s="2"/>
    </row>
  </sheetData>
  <mergeCells count="12">
    <mergeCell ref="C65:D65"/>
    <mergeCell ref="A10:H10"/>
    <mergeCell ref="A12:H12"/>
    <mergeCell ref="A14:H14"/>
    <mergeCell ref="A16:H16"/>
    <mergeCell ref="C59:E59"/>
    <mergeCell ref="A8:H8"/>
    <mergeCell ref="A18:H18"/>
    <mergeCell ref="A20:H20"/>
    <mergeCell ref="A1:H1"/>
    <mergeCell ref="A4:H4"/>
    <mergeCell ref="A6:H6"/>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S85"/>
  <sheetViews>
    <sheetView workbookViewId="0" topLeftCell="A55">
      <selection activeCell="E86" sqref="E86"/>
    </sheetView>
  </sheetViews>
  <sheetFormatPr defaultColWidth="9.140625" defaultRowHeight="12.75"/>
  <cols>
    <col min="5" max="5" width="90.28125" style="0" customWidth="1"/>
    <col min="6" max="6" width="22.57421875" style="0" customWidth="1"/>
    <col min="7" max="7" width="16.421875" style="0" bestFit="1" customWidth="1"/>
    <col min="9" max="9" width="20.57421875" style="0" bestFit="1" customWidth="1"/>
  </cols>
  <sheetData>
    <row r="1" ht="12.75">
      <c r="B1" t="s">
        <v>646</v>
      </c>
    </row>
    <row r="2" ht="12.75">
      <c r="B2" t="s">
        <v>357</v>
      </c>
    </row>
    <row r="22" ht="12.75">
      <c r="I22" s="5"/>
    </row>
    <row r="23" ht="12.75">
      <c r="I23" s="5"/>
    </row>
    <row r="24" spans="3:9" ht="12.75">
      <c r="C24" s="63"/>
      <c r="D24" s="63"/>
      <c r="E24" s="63"/>
      <c r="F24" s="63" t="s">
        <v>730</v>
      </c>
      <c r="G24" s="63" t="s">
        <v>731</v>
      </c>
      <c r="I24" s="5"/>
    </row>
    <row r="25" spans="3:9" ht="12.75">
      <c r="C25" s="63"/>
      <c r="D25" s="63"/>
      <c r="E25" s="63"/>
      <c r="F25" s="63"/>
      <c r="G25" s="63"/>
      <c r="I25" s="5"/>
    </row>
    <row r="26" spans="3:14" ht="12.75">
      <c r="C26" s="63" t="s">
        <v>268</v>
      </c>
      <c r="D26" s="63"/>
      <c r="E26" s="63"/>
      <c r="F26" s="74">
        <v>0.32</v>
      </c>
      <c r="G26" s="74">
        <v>0.0672</v>
      </c>
      <c r="K26" s="4">
        <v>0.3255</v>
      </c>
      <c r="N26">
        <v>0.1311</v>
      </c>
    </row>
    <row r="27" spans="3:7" ht="12.75">
      <c r="C27" s="63" t="s">
        <v>269</v>
      </c>
      <c r="D27" s="63"/>
      <c r="E27" s="63"/>
      <c r="F27" s="74">
        <v>0.13</v>
      </c>
      <c r="G27" s="74">
        <v>0.0273</v>
      </c>
    </row>
    <row r="28" spans="3:7" ht="12.75">
      <c r="C28" s="63" t="s">
        <v>270</v>
      </c>
      <c r="D28" s="63"/>
      <c r="E28" s="63"/>
      <c r="F28" s="74">
        <v>0.11</v>
      </c>
      <c r="G28" s="74">
        <v>0.0231</v>
      </c>
    </row>
    <row r="29" spans="3:11" ht="12.75">
      <c r="C29" s="63"/>
      <c r="D29" s="63"/>
      <c r="E29" s="63"/>
      <c r="F29" s="74"/>
      <c r="G29" s="74"/>
      <c r="K29">
        <v>0.229850746</v>
      </c>
    </row>
    <row r="30" spans="3:7" ht="12.75">
      <c r="C30" s="63"/>
      <c r="D30" s="63"/>
      <c r="E30" s="63"/>
      <c r="F30" s="74"/>
      <c r="G30" s="74"/>
    </row>
    <row r="31" spans="3:7" ht="12.75">
      <c r="C31" s="63" t="s">
        <v>271</v>
      </c>
      <c r="D31" s="63"/>
      <c r="E31" s="63"/>
      <c r="F31" s="74">
        <v>0.13</v>
      </c>
      <c r="G31" s="74">
        <v>0.0221</v>
      </c>
    </row>
    <row r="32" spans="3:11" ht="12.75">
      <c r="C32" s="63" t="s">
        <v>728</v>
      </c>
      <c r="D32" s="63"/>
      <c r="E32" s="63"/>
      <c r="F32" s="74">
        <v>0.11</v>
      </c>
      <c r="G32" s="74">
        <v>0.0187</v>
      </c>
      <c r="K32">
        <v>1.090425</v>
      </c>
    </row>
    <row r="33" spans="3:7" ht="12.75">
      <c r="C33" s="63"/>
      <c r="D33" s="63"/>
      <c r="E33" s="63"/>
      <c r="F33" s="74"/>
      <c r="G33" s="74"/>
    </row>
    <row r="34" spans="3:7" ht="12.75">
      <c r="C34" s="63" t="s">
        <v>659</v>
      </c>
      <c r="D34" s="63"/>
      <c r="E34" s="63"/>
      <c r="F34" s="74"/>
      <c r="G34" s="74"/>
    </row>
    <row r="35" spans="3:7" ht="12.75">
      <c r="C35" s="63" t="s">
        <v>729</v>
      </c>
      <c r="D35" s="63"/>
      <c r="E35" s="63"/>
      <c r="F35" s="74">
        <v>0.7</v>
      </c>
      <c r="G35" s="74"/>
    </row>
    <row r="36" spans="3:15" ht="12.75">
      <c r="C36" s="63" t="s">
        <v>358</v>
      </c>
      <c r="D36" s="63"/>
      <c r="E36" s="63"/>
      <c r="F36" s="74">
        <v>0.15</v>
      </c>
      <c r="G36" s="74"/>
      <c r="H36" t="s">
        <v>744</v>
      </c>
      <c r="O36" t="s">
        <v>748</v>
      </c>
    </row>
    <row r="37" spans="6:7" ht="12.75">
      <c r="F37" s="29"/>
      <c r="G37" s="29"/>
    </row>
    <row r="38" spans="6:9" ht="12.75">
      <c r="F38" s="29"/>
      <c r="G38" s="29"/>
      <c r="I38" t="s">
        <v>745</v>
      </c>
    </row>
    <row r="39" spans="6:9" ht="12.75">
      <c r="F39" s="29"/>
      <c r="G39" s="29"/>
      <c r="I39" t="s">
        <v>746</v>
      </c>
    </row>
    <row r="40" spans="6:9" ht="12.75">
      <c r="F40" s="29"/>
      <c r="G40" s="29"/>
      <c r="I40" t="s">
        <v>747</v>
      </c>
    </row>
    <row r="41" spans="6:7" ht="12.75">
      <c r="F41" s="29"/>
      <c r="G41" s="29"/>
    </row>
    <row r="43" spans="5:7" ht="12.75">
      <c r="E43" s="63" t="s">
        <v>347</v>
      </c>
      <c r="F43" s="63"/>
      <c r="G43" s="64">
        <f>Renew!B2</f>
        <v>4064702000000</v>
      </c>
    </row>
    <row r="44" spans="5:7" ht="12.75">
      <c r="E44" s="63" t="s">
        <v>647</v>
      </c>
      <c r="F44" s="63"/>
      <c r="G44" s="63"/>
    </row>
    <row r="45" spans="5:7" ht="12.75">
      <c r="E45" s="63" t="s">
        <v>749</v>
      </c>
      <c r="F45" s="63"/>
      <c r="G45" s="88">
        <v>0.1176</v>
      </c>
    </row>
    <row r="46" spans="5:7" ht="12.75">
      <c r="E46" s="63" t="s">
        <v>750</v>
      </c>
      <c r="F46" s="63"/>
      <c r="G46" s="88">
        <v>0.0408</v>
      </c>
    </row>
    <row r="47" spans="5:7" ht="12.75">
      <c r="E47" s="63" t="s">
        <v>753</v>
      </c>
      <c r="F47" s="63"/>
      <c r="G47" s="88">
        <v>0.0495</v>
      </c>
    </row>
    <row r="48" spans="5:7" ht="12.75">
      <c r="E48" s="63"/>
      <c r="F48" s="63"/>
      <c r="G48" s="63"/>
    </row>
    <row r="49" spans="5:7" ht="12.75">
      <c r="E49" s="63"/>
      <c r="F49" s="63"/>
      <c r="G49" s="88">
        <v>0.2079</v>
      </c>
    </row>
    <row r="50" spans="5:7" ht="12.75">
      <c r="E50" s="63" t="s">
        <v>789</v>
      </c>
      <c r="F50" s="63"/>
      <c r="G50" s="88">
        <v>0.01</v>
      </c>
    </row>
    <row r="51" spans="5:7" ht="12.75">
      <c r="E51" s="63"/>
      <c r="F51" s="63"/>
      <c r="G51" s="63"/>
    </row>
    <row r="52" spans="5:7" ht="12.75">
      <c r="E52" s="63"/>
      <c r="F52" s="63"/>
      <c r="G52" s="63"/>
    </row>
    <row r="53" spans="5:19" ht="12.75">
      <c r="E53" s="63" t="s">
        <v>702</v>
      </c>
      <c r="F53" s="64">
        <f>1689965000000+1059590000000</f>
        <v>2749555000000</v>
      </c>
      <c r="G53" s="64"/>
      <c r="I53" t="s">
        <v>700</v>
      </c>
      <c r="S53" t="s">
        <v>701</v>
      </c>
    </row>
    <row r="54" spans="5:7" ht="12.75">
      <c r="E54" s="63" t="s">
        <v>314</v>
      </c>
      <c r="F54" s="64">
        <f>0.33*F53</f>
        <v>907353150000</v>
      </c>
      <c r="G54" s="63" t="s">
        <v>158</v>
      </c>
    </row>
    <row r="55" spans="5:7" ht="12.75">
      <c r="E55" s="63" t="s">
        <v>699</v>
      </c>
      <c r="F55" s="74">
        <f>F54/G43</f>
        <v>0.22322747153419856</v>
      </c>
      <c r="G55" s="63"/>
    </row>
    <row r="56" spans="5:7" ht="12.75">
      <c r="E56" s="63"/>
      <c r="F56" s="64"/>
      <c r="G56" s="63"/>
    </row>
    <row r="57" spans="5:7" ht="12.75">
      <c r="E57" s="139" t="s">
        <v>648</v>
      </c>
      <c r="F57" s="91">
        <f>(F55+G49+G50)*(1-F55)</f>
        <v>0.34265570143934526</v>
      </c>
      <c r="G57" s="88"/>
    </row>
    <row r="58" spans="5:7" ht="12.75">
      <c r="E58" s="139"/>
      <c r="F58" s="64"/>
      <c r="G58" s="63"/>
    </row>
    <row r="59" spans="5:7" ht="12.75">
      <c r="E59" s="139"/>
      <c r="F59" s="70"/>
      <c r="G59" s="63"/>
    </row>
    <row r="60" spans="5:7" ht="12.75">
      <c r="E60" s="139"/>
      <c r="F60" s="63"/>
      <c r="G60" s="63"/>
    </row>
    <row r="61" spans="5:7" ht="12.75">
      <c r="E61" s="139"/>
      <c r="F61" s="81"/>
      <c r="G61" s="63"/>
    </row>
    <row r="62" ht="12.75">
      <c r="F62" s="28"/>
    </row>
    <row r="65" ht="12.75">
      <c r="F65" s="30"/>
    </row>
    <row r="66" spans="5:6" ht="12.75">
      <c r="E66" s="63" t="s">
        <v>348</v>
      </c>
      <c r="F66" s="97"/>
    </row>
    <row r="67" spans="5:6" ht="12.75">
      <c r="E67" s="63" t="s">
        <v>349</v>
      </c>
      <c r="F67" s="63"/>
    </row>
    <row r="68" spans="5:6" ht="12.75">
      <c r="E68" s="63" t="s">
        <v>350</v>
      </c>
      <c r="F68" s="63"/>
    </row>
    <row r="69" spans="5:6" ht="12.75">
      <c r="E69" s="63"/>
      <c r="F69" s="63"/>
    </row>
    <row r="70" spans="5:6" ht="12.75">
      <c r="E70" s="63" t="s">
        <v>351</v>
      </c>
      <c r="F70" s="63"/>
    </row>
    <row r="71" spans="5:6" ht="12.75">
      <c r="E71" s="63" t="s">
        <v>352</v>
      </c>
      <c r="F71" s="74">
        <f>0.25*0.33*0.8</f>
        <v>0.066</v>
      </c>
    </row>
    <row r="72" spans="5:6" ht="12.75">
      <c r="E72" s="63" t="s">
        <v>353</v>
      </c>
      <c r="F72" s="88">
        <f>F55*0.14</f>
        <v>0.0312518460147878</v>
      </c>
    </row>
    <row r="73" spans="5:6" ht="12.75">
      <c r="E73" s="63" t="s">
        <v>354</v>
      </c>
      <c r="F73" s="74">
        <f>0.2*0.21</f>
        <v>0.042</v>
      </c>
    </row>
    <row r="74" spans="5:6" ht="12.75">
      <c r="E74" s="63" t="s">
        <v>355</v>
      </c>
      <c r="F74" s="74">
        <f>0.2*0.17</f>
        <v>0.034</v>
      </c>
    </row>
    <row r="75" spans="5:6" ht="12.75">
      <c r="E75" s="63"/>
      <c r="F75" s="63"/>
    </row>
    <row r="76" spans="5:6" ht="12.75">
      <c r="E76" t="s">
        <v>649</v>
      </c>
      <c r="F76" s="90">
        <f>SUM(F71:F74)</f>
        <v>0.17325184601478782</v>
      </c>
    </row>
    <row r="77" ht="12.75">
      <c r="E77" t="s">
        <v>650</v>
      </c>
    </row>
    <row r="79" ht="12.75">
      <c r="E79" t="s">
        <v>373</v>
      </c>
    </row>
    <row r="80" ht="12.75">
      <c r="E80" t="s">
        <v>356</v>
      </c>
    </row>
    <row r="81" ht="12.75">
      <c r="E81" t="s">
        <v>651</v>
      </c>
    </row>
    <row r="83" ht="12.75">
      <c r="E83" t="s">
        <v>315</v>
      </c>
    </row>
    <row r="84" ht="12.75">
      <c r="E84" t="s">
        <v>316</v>
      </c>
    </row>
    <row r="85" ht="12.75">
      <c r="E85" t="s">
        <v>317</v>
      </c>
    </row>
  </sheetData>
  <mergeCells count="1">
    <mergeCell ref="E57:E61"/>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3:I105"/>
  <sheetViews>
    <sheetView workbookViewId="0" topLeftCell="A69">
      <selection activeCell="F78" sqref="F78"/>
    </sheetView>
  </sheetViews>
  <sheetFormatPr defaultColWidth="9.140625" defaultRowHeight="12.75"/>
  <cols>
    <col min="1" max="1" width="69.57421875" style="0" customWidth="1"/>
    <col min="3" max="3" width="15.00390625" style="0" customWidth="1"/>
    <col min="9" max="9" width="9.28125" style="0" bestFit="1" customWidth="1"/>
    <col min="10" max="10" width="14.57421875" style="0" customWidth="1"/>
  </cols>
  <sheetData>
    <row r="3" ht="12.75">
      <c r="A3" t="s">
        <v>244</v>
      </c>
    </row>
    <row r="5" ht="12.75">
      <c r="A5" s="3" t="s">
        <v>239</v>
      </c>
    </row>
    <row r="6" ht="12.75">
      <c r="A6" t="s">
        <v>240</v>
      </c>
    </row>
    <row r="7" spans="1:3" ht="12.75">
      <c r="A7" t="s">
        <v>245</v>
      </c>
      <c r="B7" t="s">
        <v>246</v>
      </c>
      <c r="C7" t="s">
        <v>248</v>
      </c>
    </row>
    <row r="8" spans="1:5" ht="12.75">
      <c r="A8" s="63">
        <v>1</v>
      </c>
      <c r="B8" s="63">
        <v>150</v>
      </c>
      <c r="C8" s="63">
        <f>A8*B8</f>
        <v>150</v>
      </c>
      <c r="E8">
        <f>0.6*342</f>
        <v>205.2</v>
      </c>
    </row>
    <row r="9" spans="1:3" ht="12.75">
      <c r="A9" s="63">
        <v>2</v>
      </c>
      <c r="B9" s="63">
        <v>56</v>
      </c>
      <c r="C9" s="63">
        <f aca="true" t="shared" si="0" ref="C9:C16">A9*B9</f>
        <v>112</v>
      </c>
    </row>
    <row r="10" spans="1:3" ht="12.75">
      <c r="A10" s="63">
        <v>3</v>
      </c>
      <c r="B10" s="63">
        <v>45</v>
      </c>
      <c r="C10" s="63">
        <f t="shared" si="0"/>
        <v>135</v>
      </c>
    </row>
    <row r="11" spans="1:3" ht="12.75">
      <c r="A11" s="63">
        <v>4</v>
      </c>
      <c r="B11" s="63">
        <v>33</v>
      </c>
      <c r="C11" s="63">
        <f t="shared" si="0"/>
        <v>132</v>
      </c>
    </row>
    <row r="12" spans="1:3" ht="12.75">
      <c r="A12" s="63">
        <v>5</v>
      </c>
      <c r="B12" s="63">
        <v>12</v>
      </c>
      <c r="C12" s="63">
        <f t="shared" si="0"/>
        <v>60</v>
      </c>
    </row>
    <row r="13" spans="1:3" ht="12.75">
      <c r="A13" s="63">
        <v>6</v>
      </c>
      <c r="B13" s="63">
        <v>10</v>
      </c>
      <c r="C13" s="63">
        <f t="shared" si="0"/>
        <v>60</v>
      </c>
    </row>
    <row r="14" spans="1:3" ht="12.75">
      <c r="A14" s="63">
        <v>7</v>
      </c>
      <c r="B14" s="63">
        <v>6</v>
      </c>
      <c r="C14" s="63">
        <f t="shared" si="0"/>
        <v>42</v>
      </c>
    </row>
    <row r="15" spans="1:3" ht="12.75">
      <c r="A15" s="63">
        <v>8</v>
      </c>
      <c r="B15" s="63">
        <v>5</v>
      </c>
      <c r="C15" s="63">
        <f t="shared" si="0"/>
        <v>40</v>
      </c>
    </row>
    <row r="16" spans="1:3" ht="12.75">
      <c r="A16" s="63">
        <v>9</v>
      </c>
      <c r="B16" s="63">
        <v>2</v>
      </c>
      <c r="C16" s="63">
        <f t="shared" si="0"/>
        <v>18</v>
      </c>
    </row>
    <row r="17" spans="1:3" ht="12.75">
      <c r="A17" s="63"/>
      <c r="B17" s="63" t="s">
        <v>103</v>
      </c>
      <c r="C17" s="63">
        <f>SUM(C8:C16)</f>
        <v>749</v>
      </c>
    </row>
    <row r="18" spans="1:4" ht="12.75">
      <c r="A18" s="63" t="s">
        <v>249</v>
      </c>
      <c r="B18" s="63"/>
      <c r="C18" s="89">
        <f>C17/C41</f>
        <v>0.08550228310502284</v>
      </c>
      <c r="D18" t="s">
        <v>424</v>
      </c>
    </row>
    <row r="19" ht="12.75">
      <c r="A19" t="s">
        <v>250</v>
      </c>
    </row>
    <row r="20" ht="12.75">
      <c r="A20" t="s">
        <v>251</v>
      </c>
    </row>
    <row r="21" ht="12.75">
      <c r="A21" t="s">
        <v>252</v>
      </c>
    </row>
    <row r="23" spans="1:3" ht="12.75">
      <c r="A23" s="63" t="s">
        <v>245</v>
      </c>
      <c r="B23" s="63" t="s">
        <v>246</v>
      </c>
      <c r="C23" s="63" t="s">
        <v>247</v>
      </c>
    </row>
    <row r="24" spans="1:3" ht="12.75">
      <c r="A24" s="63">
        <v>10</v>
      </c>
      <c r="B24" s="63">
        <v>9</v>
      </c>
      <c r="C24" s="63">
        <f aca="true" t="shared" si="1" ref="C24:C30">B24*A24</f>
        <v>90</v>
      </c>
    </row>
    <row r="25" spans="1:3" ht="12.75">
      <c r="A25" s="63">
        <v>11</v>
      </c>
      <c r="B25" s="63">
        <v>3</v>
      </c>
      <c r="C25" s="63">
        <f t="shared" si="1"/>
        <v>33</v>
      </c>
    </row>
    <row r="26" spans="1:3" ht="12.75">
      <c r="A26" s="63">
        <v>12</v>
      </c>
      <c r="B26" s="63">
        <v>3</v>
      </c>
      <c r="C26" s="63">
        <f t="shared" si="1"/>
        <v>36</v>
      </c>
    </row>
    <row r="27" spans="1:3" ht="12.75">
      <c r="A27" s="63">
        <v>13</v>
      </c>
      <c r="B27" s="63">
        <v>3</v>
      </c>
      <c r="C27" s="63">
        <f t="shared" si="1"/>
        <v>39</v>
      </c>
    </row>
    <row r="28" spans="1:3" ht="12.75">
      <c r="A28" s="63">
        <v>14</v>
      </c>
      <c r="B28" s="63">
        <v>1</v>
      </c>
      <c r="C28" s="63">
        <f t="shared" si="1"/>
        <v>14</v>
      </c>
    </row>
    <row r="29" spans="1:3" ht="12.75">
      <c r="A29" s="63">
        <v>15</v>
      </c>
      <c r="B29" s="63">
        <v>1</v>
      </c>
      <c r="C29" s="63">
        <f t="shared" si="1"/>
        <v>15</v>
      </c>
    </row>
    <row r="30" spans="1:3" ht="12.75">
      <c r="A30" s="63">
        <v>16</v>
      </c>
      <c r="B30" s="63">
        <v>1</v>
      </c>
      <c r="C30" s="63">
        <f t="shared" si="1"/>
        <v>16</v>
      </c>
    </row>
    <row r="31" spans="1:3" ht="12.75">
      <c r="A31" s="63">
        <v>17</v>
      </c>
      <c r="B31" s="63"/>
      <c r="C31" s="63"/>
    </row>
    <row r="32" spans="1:3" ht="12.75">
      <c r="A32" s="63">
        <v>18</v>
      </c>
      <c r="B32" s="63"/>
      <c r="C32" s="63"/>
    </row>
    <row r="33" spans="1:3" ht="12.75">
      <c r="A33" s="63">
        <v>19</v>
      </c>
      <c r="B33" s="63">
        <v>1</v>
      </c>
      <c r="C33" s="63">
        <f>B33*A31</f>
        <v>17</v>
      </c>
    </row>
    <row r="34" spans="1:3" ht="12.75">
      <c r="A34" s="63">
        <v>20</v>
      </c>
      <c r="B34" s="63"/>
      <c r="C34" s="63"/>
    </row>
    <row r="35" spans="1:3" ht="12.75">
      <c r="A35" s="63">
        <v>21</v>
      </c>
      <c r="B35" s="63"/>
      <c r="C35" s="63"/>
    </row>
    <row r="36" spans="1:3" ht="12.75">
      <c r="A36" s="63">
        <v>22</v>
      </c>
      <c r="B36" s="63">
        <v>1</v>
      </c>
      <c r="C36" s="63">
        <f>B36*A32</f>
        <v>18</v>
      </c>
    </row>
    <row r="37" spans="1:3" ht="12.75">
      <c r="A37" s="63">
        <v>23</v>
      </c>
      <c r="B37" s="63"/>
      <c r="C37" s="63"/>
    </row>
    <row r="38" spans="1:3" ht="12.75">
      <c r="A38" s="87">
        <v>24</v>
      </c>
      <c r="B38" s="63">
        <v>0</v>
      </c>
      <c r="C38" s="63">
        <v>0</v>
      </c>
    </row>
    <row r="39" spans="1:3" ht="12.75">
      <c r="A39" s="63" t="s">
        <v>103</v>
      </c>
      <c r="B39" s="63"/>
      <c r="C39" s="63">
        <f>SUM(C24:C38)</f>
        <v>278</v>
      </c>
    </row>
    <row r="40" spans="1:3" ht="12.75">
      <c r="A40" s="63"/>
      <c r="B40" s="63">
        <f>SUM(B8:B38)</f>
        <v>342</v>
      </c>
      <c r="C40" s="63"/>
    </row>
    <row r="41" spans="1:3" ht="12.75">
      <c r="A41" s="63" t="s">
        <v>241</v>
      </c>
      <c r="B41" s="63"/>
      <c r="C41" s="63">
        <f>365*24</f>
        <v>8760</v>
      </c>
    </row>
    <row r="42" spans="1:3" ht="12.75">
      <c r="A42" s="63" t="s">
        <v>242</v>
      </c>
      <c r="B42" s="63"/>
      <c r="C42" s="74">
        <f>C39/C41</f>
        <v>0.031735159817351595</v>
      </c>
    </row>
    <row r="43" spans="1:5" ht="12.75">
      <c r="A43" s="63"/>
      <c r="B43" s="63"/>
      <c r="C43" s="63"/>
      <c r="E43" s="29"/>
    </row>
    <row r="44" spans="1:3" ht="12.75">
      <c r="A44" s="63" t="s">
        <v>258</v>
      </c>
      <c r="B44" s="63"/>
      <c r="C44" s="89">
        <f>C42*0.75</f>
        <v>0.023801369863013698</v>
      </c>
    </row>
    <row r="47" spans="1:3" ht="12.75">
      <c r="A47" t="s">
        <v>259</v>
      </c>
      <c r="C47" s="29"/>
    </row>
    <row r="48" spans="1:3" ht="12.75">
      <c r="A48">
        <v>24</v>
      </c>
      <c r="B48" t="s">
        <v>253</v>
      </c>
      <c r="C48" s="29"/>
    </row>
    <row r="49" spans="1:3" ht="12.75">
      <c r="A49" s="4">
        <f>A48*24/C41</f>
        <v>0.06575342465753424</v>
      </c>
      <c r="B49" t="s">
        <v>254</v>
      </c>
      <c r="C49" s="29"/>
    </row>
    <row r="50" spans="1:3" ht="12.75">
      <c r="A50" s="4"/>
      <c r="C50" s="90">
        <f>A49</f>
        <v>0.06575342465753424</v>
      </c>
    </row>
    <row r="51" spans="1:3" ht="12.75">
      <c r="A51" s="4"/>
      <c r="C51" s="29"/>
    </row>
    <row r="52" spans="1:3" ht="12.75">
      <c r="A52" s="4"/>
      <c r="C52" s="29"/>
    </row>
    <row r="53" spans="1:4" ht="12.75">
      <c r="A53" s="88" t="s">
        <v>450</v>
      </c>
      <c r="B53" s="63"/>
      <c r="C53" s="88">
        <f>C44*B81</f>
        <v>0.015508209631998471</v>
      </c>
      <c r="D53" s="63"/>
    </row>
    <row r="54" spans="1:4" ht="12.75">
      <c r="A54" s="88" t="s">
        <v>451</v>
      </c>
      <c r="B54" s="63"/>
      <c r="C54" s="88">
        <f>C50*B82</f>
        <v>0.022910600925970116</v>
      </c>
      <c r="D54" s="63"/>
    </row>
    <row r="55" spans="1:4" ht="12.75">
      <c r="A55" s="88" t="s">
        <v>671</v>
      </c>
      <c r="B55" s="63"/>
      <c r="C55" s="88">
        <f>SUM(C53:C54)</f>
        <v>0.038418810557968586</v>
      </c>
      <c r="D55" s="63"/>
    </row>
    <row r="56" spans="1:4" ht="12.75">
      <c r="A56" s="88" t="s">
        <v>452</v>
      </c>
      <c r="B56" s="63"/>
      <c r="C56" s="88">
        <f>0.2*C55</f>
        <v>0.007683762111593717</v>
      </c>
      <c r="D56" s="63"/>
    </row>
    <row r="57" spans="1:4" ht="12.75">
      <c r="A57" s="63" t="s">
        <v>243</v>
      </c>
      <c r="B57" s="63"/>
      <c r="C57" s="88">
        <v>0.0064</v>
      </c>
      <c r="D57" s="63"/>
    </row>
    <row r="58" spans="1:4" ht="12.75">
      <c r="A58" s="88" t="s">
        <v>453</v>
      </c>
      <c r="B58" s="63"/>
      <c r="C58" s="88">
        <f>C56-C57</f>
        <v>0.0012837621115937168</v>
      </c>
      <c r="D58" s="63"/>
    </row>
    <row r="59" spans="1:4" ht="12.75">
      <c r="A59" s="88" t="s">
        <v>454</v>
      </c>
      <c r="B59" s="63"/>
      <c r="C59" s="88">
        <f>C58/0.522</f>
        <v>0.0024593143900262775</v>
      </c>
      <c r="D59" s="63"/>
    </row>
    <row r="60" spans="1:4" ht="12.75">
      <c r="A60" s="88" t="s">
        <v>455</v>
      </c>
      <c r="B60" s="63"/>
      <c r="C60" s="88">
        <f>1-C59</f>
        <v>0.9975406856099738</v>
      </c>
      <c r="D60" s="63" t="s">
        <v>456</v>
      </c>
    </row>
    <row r="61" spans="1:4" ht="12.75">
      <c r="A61" s="88" t="s">
        <v>458</v>
      </c>
      <c r="B61" s="63"/>
      <c r="C61" s="88">
        <v>0.99</v>
      </c>
      <c r="D61" s="63" t="s">
        <v>457</v>
      </c>
    </row>
    <row r="62" spans="1:4" ht="12.75">
      <c r="A62" s="88" t="s">
        <v>461</v>
      </c>
      <c r="B62" s="63" t="s">
        <v>459</v>
      </c>
      <c r="C62" s="88">
        <v>0.95</v>
      </c>
      <c r="D62" s="63" t="s">
        <v>457</v>
      </c>
    </row>
    <row r="63" spans="1:4" ht="12.75">
      <c r="A63" s="88" t="s">
        <v>460</v>
      </c>
      <c r="B63" s="63"/>
      <c r="C63" s="91">
        <f>(C60*12+C61*3+C62*2)/17</f>
        <v>0.9906169545482166</v>
      </c>
      <c r="D63" s="63" t="s">
        <v>456</v>
      </c>
    </row>
    <row r="64" spans="1:3" ht="12.75">
      <c r="A64" s="4"/>
      <c r="C64" s="4"/>
    </row>
    <row r="65" spans="1:3" ht="12.75">
      <c r="A65" s="4"/>
      <c r="C65" s="4"/>
    </row>
    <row r="66" spans="1:3" ht="12.75">
      <c r="A66" s="4"/>
      <c r="C66" s="4"/>
    </row>
    <row r="67" spans="1:5" ht="12.75">
      <c r="A67" s="88"/>
      <c r="B67" s="63"/>
      <c r="C67" s="88" t="s">
        <v>464</v>
      </c>
      <c r="D67" s="63" t="s">
        <v>463</v>
      </c>
      <c r="E67" s="63"/>
    </row>
    <row r="68" spans="1:5" ht="12.75">
      <c r="A68" s="88"/>
      <c r="B68" s="88" t="s">
        <v>260</v>
      </c>
      <c r="C68" s="63" t="s">
        <v>465</v>
      </c>
      <c r="D68" s="63" t="s">
        <v>468</v>
      </c>
      <c r="E68" s="63"/>
    </row>
    <row r="69" spans="1:5" ht="12.75">
      <c r="A69" s="88"/>
      <c r="B69" s="88"/>
      <c r="C69" s="63" t="s">
        <v>466</v>
      </c>
      <c r="D69" s="63"/>
      <c r="E69" s="63"/>
    </row>
    <row r="70" spans="1:5" ht="12.75">
      <c r="A70" s="88"/>
      <c r="B70" s="88"/>
      <c r="C70" s="88" t="s">
        <v>467</v>
      </c>
      <c r="D70" s="63"/>
      <c r="E70" s="63"/>
    </row>
    <row r="71" spans="1:5" ht="12.75">
      <c r="A71" s="88" t="s">
        <v>255</v>
      </c>
      <c r="B71" s="92">
        <v>118.012306213379</v>
      </c>
      <c r="C71" s="93">
        <f>0.95*0.009*B71</f>
        <v>1.0090052181243903</v>
      </c>
      <c r="D71" s="94">
        <f>8-C71</f>
        <v>6.99099478187561</v>
      </c>
      <c r="E71" s="63"/>
    </row>
    <row r="72" spans="1:5" ht="12.75">
      <c r="A72" s="88" t="s">
        <v>256</v>
      </c>
      <c r="B72" s="93">
        <f>0.2*B71</f>
        <v>23.6024612426758</v>
      </c>
      <c r="C72" s="93">
        <f>0.95*0.009*B72</f>
        <v>0.20180104362487808</v>
      </c>
      <c r="D72" s="94">
        <f>8-C72</f>
        <v>7.7981989563751215</v>
      </c>
      <c r="E72" s="63"/>
    </row>
    <row r="73" spans="1:5" ht="12.75">
      <c r="A73" s="88" t="s">
        <v>257</v>
      </c>
      <c r="B73" s="93">
        <f>0.4*B71</f>
        <v>47.2049224853516</v>
      </c>
      <c r="C73" s="93">
        <f>0.95*0.009*B73</f>
        <v>0.40360208724975616</v>
      </c>
      <c r="D73" s="94">
        <f>8-C73</f>
        <v>7.596397912750244</v>
      </c>
      <c r="E73" s="63"/>
    </row>
    <row r="74" spans="1:8" ht="12.75">
      <c r="A74" s="88" t="s">
        <v>462</v>
      </c>
      <c r="B74" s="63">
        <f>0.7*B71</f>
        <v>82.6086143493653</v>
      </c>
      <c r="C74" s="93">
        <f>0.95*0.009*B74</f>
        <v>0.7063036526870732</v>
      </c>
      <c r="D74" s="94">
        <f>8-C74</f>
        <v>7.293696347312927</v>
      </c>
      <c r="E74" s="63"/>
      <c r="G74" s="50"/>
      <c r="H74" s="50"/>
    </row>
    <row r="75" spans="1:8" ht="12.75">
      <c r="A75" s="4"/>
      <c r="C75" s="29"/>
      <c r="G75" s="50"/>
      <c r="H75" s="50"/>
    </row>
    <row r="76" spans="1:7" ht="12.75">
      <c r="A76" s="4"/>
      <c r="C76" s="29"/>
      <c r="G76" s="50"/>
    </row>
    <row r="77" ht="12.75">
      <c r="A77" s="4" t="s">
        <v>469</v>
      </c>
    </row>
    <row r="78" ht="12.75">
      <c r="A78" s="4" t="s">
        <v>470</v>
      </c>
    </row>
    <row r="80" spans="1:2" ht="12.75">
      <c r="A80" s="63" t="s">
        <v>436</v>
      </c>
      <c r="B80" s="63"/>
    </row>
    <row r="81" spans="1:2" ht="12.75">
      <c r="A81" s="88" t="s">
        <v>437</v>
      </c>
      <c r="B81" s="88">
        <f>1.87/2.87</f>
        <v>0.6515679442508711</v>
      </c>
    </row>
    <row r="82" spans="1:2" ht="12.75">
      <c r="A82" s="88" t="s">
        <v>438</v>
      </c>
      <c r="B82" s="88">
        <f>1/2.87</f>
        <v>0.3484320557491289</v>
      </c>
    </row>
    <row r="83" spans="1:2" ht="12.75">
      <c r="A83" s="63" t="s">
        <v>439</v>
      </c>
      <c r="B83" s="63"/>
    </row>
    <row r="84" spans="1:2" ht="12.75">
      <c r="A84" s="88" t="s">
        <v>437</v>
      </c>
      <c r="B84" s="88">
        <f>B81*1.3</f>
        <v>0.8470383275261324</v>
      </c>
    </row>
    <row r="85" spans="1:9" ht="12.75">
      <c r="A85" s="88" t="s">
        <v>438</v>
      </c>
      <c r="B85" s="88">
        <f>B82*1.3</f>
        <v>0.4529616724738676</v>
      </c>
      <c r="I85" s="54"/>
    </row>
    <row r="86" spans="1:9" ht="12.75">
      <c r="A86" s="4"/>
      <c r="I86" s="54"/>
    </row>
    <row r="87" spans="1:9" ht="12.75">
      <c r="A87" s="4"/>
      <c r="B87" s="4"/>
      <c r="I87" s="4"/>
    </row>
    <row r="88" spans="1:2" ht="12.75">
      <c r="A88" s="4"/>
      <c r="B88" s="4"/>
    </row>
    <row r="105" ht="12.75">
      <c r="A105" s="56"/>
    </row>
  </sheetData>
  <hyperlinks>
    <hyperlink ref="A5" r:id="rId1" display="http://www.udel.edu/V2G/docs/KemptonDhanju06-V2G-Wind.pdf"/>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55"/>
  <sheetViews>
    <sheetView workbookViewId="0" topLeftCell="A1">
      <selection activeCell="C6" sqref="C6"/>
    </sheetView>
  </sheetViews>
  <sheetFormatPr defaultColWidth="9.140625" defaultRowHeight="12.75"/>
  <cols>
    <col min="3" max="3" width="52.28125" style="0" customWidth="1"/>
    <col min="4" max="4" width="18.7109375" style="0" bestFit="1" customWidth="1"/>
    <col min="5" max="5" width="17.421875" style="0" customWidth="1"/>
    <col min="6" max="6" width="13.7109375" style="0" customWidth="1"/>
    <col min="8" max="8" width="17.7109375" style="0" bestFit="1" customWidth="1"/>
  </cols>
  <sheetData>
    <row r="1" spans="1:7" ht="12.75">
      <c r="A1" t="s">
        <v>714</v>
      </c>
      <c r="F1" t="s">
        <v>277</v>
      </c>
      <c r="G1" t="s">
        <v>280</v>
      </c>
    </row>
    <row r="2" spans="1:6" ht="12.75">
      <c r="A2" t="s">
        <v>713</v>
      </c>
      <c r="F2" t="s">
        <v>278</v>
      </c>
    </row>
    <row r="3" spans="1:6" ht="12.75">
      <c r="A3" t="s">
        <v>712</v>
      </c>
      <c r="C3" s="15"/>
      <c r="F3" t="s">
        <v>279</v>
      </c>
    </row>
    <row r="4" ht="12.75">
      <c r="A4" t="s">
        <v>715</v>
      </c>
    </row>
    <row r="5" spans="3:7" ht="14.25" customHeight="1">
      <c r="C5" s="71"/>
      <c r="D5" s="63">
        <v>2006</v>
      </c>
      <c r="E5" s="63"/>
      <c r="F5" s="63"/>
      <c r="G5" s="63"/>
    </row>
    <row r="6" spans="3:7" ht="12.75">
      <c r="C6" s="72"/>
      <c r="D6" s="63"/>
      <c r="E6" s="64"/>
      <c r="F6" s="73"/>
      <c r="G6" s="73"/>
    </row>
    <row r="7" spans="3:7" ht="12.75">
      <c r="C7" s="72" t="s">
        <v>716</v>
      </c>
      <c r="D7" s="63">
        <v>85</v>
      </c>
      <c r="E7" s="64">
        <v>9102553926</v>
      </c>
      <c r="F7" s="73">
        <f>100000000*D7/E7</f>
        <v>0.9338038608836032</v>
      </c>
      <c r="G7" s="74">
        <f>F7/E27</f>
        <v>0.6622722417614207</v>
      </c>
    </row>
    <row r="8" spans="3:7" ht="12.75">
      <c r="C8" s="72"/>
      <c r="D8" s="63"/>
      <c r="E8" s="64"/>
      <c r="F8" s="73"/>
      <c r="G8" s="74"/>
    </row>
    <row r="9" spans="3:7" ht="12.75">
      <c r="C9" s="72" t="s">
        <v>717</v>
      </c>
      <c r="D9" s="63">
        <v>23</v>
      </c>
      <c r="E9" s="64">
        <v>4681146806</v>
      </c>
      <c r="F9" s="73">
        <f>100000000*D9/E9</f>
        <v>0.49133259334059004</v>
      </c>
      <c r="G9" s="74">
        <f>F9/E27</f>
        <v>0.34846283215644686</v>
      </c>
    </row>
    <row r="10" spans="3:7" ht="12.75">
      <c r="C10" s="72" t="s">
        <v>718</v>
      </c>
      <c r="D10" s="63">
        <v>17</v>
      </c>
      <c r="E10" s="64">
        <v>1806248516</v>
      </c>
      <c r="F10" s="73">
        <f>100000000*D10/E10</f>
        <v>0.9411772438516428</v>
      </c>
      <c r="G10" s="74">
        <f>F10/E27</f>
        <v>0.6675015913841439</v>
      </c>
    </row>
    <row r="11" spans="3:8" ht="12.75">
      <c r="C11" s="72" t="s">
        <v>719</v>
      </c>
      <c r="D11" s="63">
        <v>94</v>
      </c>
      <c r="E11" s="64">
        <v>17654709436</v>
      </c>
      <c r="F11" s="73">
        <f>100000000*D11/E11</f>
        <v>0.5324358372521447</v>
      </c>
      <c r="G11" s="74">
        <f>F11/E27</f>
        <v>0.3776140689731523</v>
      </c>
      <c r="H11" s="2"/>
    </row>
    <row r="12" spans="3:6" ht="11.25" customHeight="1">
      <c r="C12" s="62"/>
      <c r="E12" s="2"/>
      <c r="F12" s="61"/>
    </row>
    <row r="13" ht="12.75">
      <c r="E13" s="59"/>
    </row>
    <row r="14" spans="4:5" ht="12.75">
      <c r="D14" s="59"/>
      <c r="E14" s="59"/>
    </row>
    <row r="15" spans="4:5" ht="12.75">
      <c r="D15" s="2"/>
      <c r="E15" s="59"/>
    </row>
    <row r="16" ht="12.75">
      <c r="E16" s="60"/>
    </row>
    <row r="17" spans="1:5" ht="12.75">
      <c r="A17" t="s">
        <v>720</v>
      </c>
      <c r="E17" s="59"/>
    </row>
    <row r="18" spans="1:5" ht="12.75">
      <c r="A18" t="s">
        <v>721</v>
      </c>
      <c r="E18" s="59"/>
    </row>
    <row r="20" ht="12.75">
      <c r="C20" s="15"/>
    </row>
    <row r="22" ht="23.25">
      <c r="C22" s="58"/>
    </row>
    <row r="23" ht="12.75">
      <c r="D23" s="2"/>
    </row>
    <row r="24" spans="1:4" ht="12.75">
      <c r="A24" t="s">
        <v>722</v>
      </c>
      <c r="D24" s="2"/>
    </row>
    <row r="25" spans="1:4" ht="12.75">
      <c r="A25" s="52" t="s">
        <v>723</v>
      </c>
      <c r="D25" s="2"/>
    </row>
    <row r="26" ht="12.75">
      <c r="A26" t="s">
        <v>724</v>
      </c>
    </row>
    <row r="27" spans="1:6" ht="12.75">
      <c r="A27" s="63" t="s">
        <v>725</v>
      </c>
      <c r="B27" s="63"/>
      <c r="C27" s="63"/>
      <c r="D27" s="76"/>
      <c r="E27" s="63">
        <v>1.41</v>
      </c>
      <c r="F27" s="63"/>
    </row>
    <row r="28" spans="1:6" ht="12.75">
      <c r="A28" s="63"/>
      <c r="B28" s="63"/>
      <c r="C28" s="63"/>
      <c r="D28" s="63"/>
      <c r="E28" s="63"/>
      <c r="F28" s="63"/>
    </row>
    <row r="29" spans="1:6" ht="12.75">
      <c r="A29" s="63" t="s">
        <v>726</v>
      </c>
      <c r="B29" s="63"/>
      <c r="C29" s="63"/>
      <c r="D29" s="63"/>
      <c r="E29" s="63"/>
      <c r="F29" s="63"/>
    </row>
    <row r="30" spans="1:6" ht="12.75">
      <c r="A30" s="63" t="s">
        <v>727</v>
      </c>
      <c r="B30" s="63"/>
      <c r="C30" s="63"/>
      <c r="D30" s="74"/>
      <c r="E30" s="78">
        <v>230.6</v>
      </c>
      <c r="F30" s="63" t="s">
        <v>275</v>
      </c>
    </row>
    <row r="31" spans="1:6" ht="12.75">
      <c r="A31" s="63"/>
      <c r="B31" s="63"/>
      <c r="C31" s="63"/>
      <c r="D31" s="63"/>
      <c r="E31" s="63"/>
      <c r="F31" s="63"/>
    </row>
    <row r="32" spans="1:6" ht="12.75">
      <c r="A32" s="63" t="s">
        <v>272</v>
      </c>
      <c r="B32" s="63"/>
      <c r="C32" s="63"/>
      <c r="D32" s="63"/>
      <c r="E32" s="64">
        <v>41945</v>
      </c>
      <c r="F32" s="63"/>
    </row>
    <row r="33" spans="1:6" ht="12.75">
      <c r="A33" s="63" t="s">
        <v>273</v>
      </c>
      <c r="B33" s="63"/>
      <c r="C33" s="63"/>
      <c r="D33" s="63"/>
      <c r="E33" s="64">
        <v>43443</v>
      </c>
      <c r="F33" s="64"/>
    </row>
    <row r="34" spans="1:6" ht="12.75">
      <c r="A34" s="63" t="s">
        <v>274</v>
      </c>
      <c r="B34" s="63"/>
      <c r="C34" s="63"/>
      <c r="D34" s="63"/>
      <c r="E34" s="63">
        <f>E33/E32</f>
        <v>1.035713434259149</v>
      </c>
      <c r="F34" s="63"/>
    </row>
    <row r="35" spans="1:6" ht="12.75">
      <c r="A35" s="63" t="s">
        <v>276</v>
      </c>
      <c r="B35" s="63"/>
      <c r="C35" s="63"/>
      <c r="D35" s="63"/>
      <c r="E35" s="77">
        <f>E34*E30</f>
        <v>238.83551794015975</v>
      </c>
      <c r="F35" s="63" t="s">
        <v>275</v>
      </c>
    </row>
    <row r="41" spans="1:5" ht="12.75">
      <c r="A41" t="s">
        <v>282</v>
      </c>
      <c r="E41" t="s">
        <v>283</v>
      </c>
    </row>
    <row r="42" spans="3:6" ht="38.25">
      <c r="C42" s="63"/>
      <c r="D42" s="79" t="s">
        <v>290</v>
      </c>
      <c r="E42" s="79" t="s">
        <v>288</v>
      </c>
      <c r="F42" s="63" t="s">
        <v>295</v>
      </c>
    </row>
    <row r="43" spans="3:6" ht="12.75">
      <c r="C43" s="63"/>
      <c r="D43" s="63"/>
      <c r="E43" s="63"/>
      <c r="F43" s="63"/>
    </row>
    <row r="44" spans="3:6" ht="12.75">
      <c r="C44" s="80" t="s">
        <v>284</v>
      </c>
      <c r="D44" s="65">
        <v>0.88</v>
      </c>
      <c r="E44" s="73">
        <f>E27-F11</f>
        <v>0.8775641627478552</v>
      </c>
      <c r="F44" s="63"/>
    </row>
    <row r="45" spans="3:6" ht="12.75">
      <c r="C45" s="80" t="s">
        <v>285</v>
      </c>
      <c r="D45" s="65">
        <v>0.74</v>
      </c>
      <c r="E45" s="73">
        <f>E27-F10</f>
        <v>0.4688227561483571</v>
      </c>
      <c r="F45" s="63">
        <f>1-(E44/2+E45/2)/1.41</f>
        <v>0.5225578301786481</v>
      </c>
    </row>
    <row r="46" spans="3:6" ht="25.5">
      <c r="C46" s="63"/>
      <c r="D46" s="63"/>
      <c r="E46" s="79" t="s">
        <v>291</v>
      </c>
      <c r="F46" s="79" t="s">
        <v>292</v>
      </c>
    </row>
    <row r="47" spans="3:6" ht="12.75">
      <c r="C47" s="63" t="s">
        <v>286</v>
      </c>
      <c r="D47" s="70">
        <f>Efficiency!B6*1000000000</f>
        <v>500000000000</v>
      </c>
      <c r="E47" s="63"/>
      <c r="F47" s="63"/>
    </row>
    <row r="48" spans="3:6" ht="12.75">
      <c r="C48" s="63" t="s">
        <v>287</v>
      </c>
      <c r="D48" s="81">
        <f>D47/2</f>
        <v>250000000000</v>
      </c>
      <c r="E48" s="70">
        <f>(D48/D44)/100000000</f>
        <v>2840.909090909091</v>
      </c>
      <c r="F48" s="70"/>
    </row>
    <row r="49" spans="3:6" ht="12.75">
      <c r="C49" s="63" t="s">
        <v>289</v>
      </c>
      <c r="D49" s="81">
        <f>D47/2</f>
        <v>250000000000</v>
      </c>
      <c r="E49" s="70">
        <f>(D49/D45)/100000000</f>
        <v>3378.3783783783783</v>
      </c>
      <c r="F49" s="70"/>
    </row>
    <row r="50" spans="3:6" ht="12.75">
      <c r="C50" s="63" t="s">
        <v>293</v>
      </c>
      <c r="D50" s="63"/>
      <c r="E50" s="64">
        <f>SGrid!F53/100000000</f>
        <v>27495.55</v>
      </c>
      <c r="F50" s="63"/>
    </row>
    <row r="51" spans="3:6" ht="12.75">
      <c r="C51" s="63" t="s">
        <v>294</v>
      </c>
      <c r="D51" s="63"/>
      <c r="E51" s="74">
        <f>SUM(E48:E49)/E50</f>
        <v>0.22619251003480453</v>
      </c>
      <c r="F51" s="63"/>
    </row>
    <row r="52" spans="3:6" ht="12.75">
      <c r="C52" s="63" t="s">
        <v>296</v>
      </c>
      <c r="D52" s="63"/>
      <c r="E52" s="74">
        <f>F45*E51</f>
        <v>0.11819866724644955</v>
      </c>
      <c r="F52" s="63"/>
    </row>
    <row r="53" spans="3:6" ht="12.75">
      <c r="C53" s="63" t="s">
        <v>297</v>
      </c>
      <c r="D53" s="63"/>
      <c r="E53" s="82">
        <f>E52*E35</f>
        <v>28.230039911642372</v>
      </c>
      <c r="F53" s="63" t="s">
        <v>298</v>
      </c>
    </row>
    <row r="54" spans="3:6" ht="12.75">
      <c r="C54" s="63"/>
      <c r="D54" s="63"/>
      <c r="E54" s="63"/>
      <c r="F54" s="63"/>
    </row>
    <row r="55" spans="3:6" ht="12.75">
      <c r="C55" s="63" t="s">
        <v>300</v>
      </c>
      <c r="D55" s="63"/>
      <c r="E55" s="83">
        <f>SUM(E48:E49)*7000000</f>
        <v>43535012285.01228</v>
      </c>
      <c r="F55" s="63"/>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J74"/>
  <sheetViews>
    <sheetView workbookViewId="0" topLeftCell="A52">
      <selection activeCell="A70" sqref="A70"/>
    </sheetView>
  </sheetViews>
  <sheetFormatPr defaultColWidth="9.140625" defaultRowHeight="12.75"/>
  <cols>
    <col min="1" max="1" width="56.421875" style="0" customWidth="1"/>
    <col min="3" max="3" width="20.28125" style="0" customWidth="1"/>
    <col min="4" max="4" width="26.7109375" style="0" customWidth="1"/>
  </cols>
  <sheetData>
    <row r="1" spans="1:25" ht="12.75">
      <c r="A1" s="63" t="s">
        <v>743</v>
      </c>
      <c r="B1" s="63"/>
      <c r="C1" s="84">
        <v>1266410000000</v>
      </c>
      <c r="D1" s="2"/>
      <c r="E1" s="2"/>
      <c r="F1" s="9"/>
      <c r="G1" t="s">
        <v>742</v>
      </c>
      <c r="K1" t="s">
        <v>738</v>
      </c>
      <c r="N1" t="s">
        <v>739</v>
      </c>
      <c r="P1" t="s">
        <v>740</v>
      </c>
      <c r="R1" s="27" t="s">
        <v>741</v>
      </c>
      <c r="T1" t="s">
        <v>215</v>
      </c>
      <c r="Y1" t="s">
        <v>216</v>
      </c>
    </row>
    <row r="2" spans="1:31" ht="16.5">
      <c r="A2" s="63"/>
      <c r="B2" s="63"/>
      <c r="C2" s="64"/>
      <c r="D2" s="2"/>
      <c r="E2" s="2"/>
      <c r="F2" s="9"/>
      <c r="G2" t="s">
        <v>162</v>
      </c>
      <c r="L2" t="s">
        <v>163</v>
      </c>
      <c r="O2" s="14" t="s">
        <v>161</v>
      </c>
      <c r="Y2" t="s">
        <v>164</v>
      </c>
      <c r="AE2" t="s">
        <v>165</v>
      </c>
    </row>
    <row r="3" spans="1:28" ht="12.75">
      <c r="A3" s="63" t="s">
        <v>169</v>
      </c>
      <c r="B3" s="63"/>
      <c r="C3" s="64">
        <f>106600000000/2</f>
        <v>53300000000</v>
      </c>
      <c r="D3" s="2"/>
      <c r="E3" s="2"/>
      <c r="F3" s="9"/>
      <c r="G3" t="s">
        <v>166</v>
      </c>
      <c r="L3" s="15" t="s">
        <v>167</v>
      </c>
      <c r="R3" s="15" t="s">
        <v>168</v>
      </c>
      <c r="V3" t="s">
        <v>199</v>
      </c>
      <c r="AB3">
        <f>106.6/1.11</f>
        <v>96.03603603603602</v>
      </c>
    </row>
    <row r="4" spans="1:7" ht="12.75">
      <c r="A4" s="63" t="s">
        <v>198</v>
      </c>
      <c r="B4" s="63"/>
      <c r="C4" s="64">
        <v>50000000000</v>
      </c>
      <c r="F4" s="9"/>
      <c r="G4" t="s">
        <v>214</v>
      </c>
    </row>
    <row r="5" spans="1:14" ht="12.75">
      <c r="A5" s="63" t="s">
        <v>211</v>
      </c>
      <c r="B5" s="63"/>
      <c r="C5" s="64">
        <v>520000000000</v>
      </c>
      <c r="F5" s="9"/>
      <c r="G5" t="s">
        <v>751</v>
      </c>
      <c r="K5" t="s">
        <v>212</v>
      </c>
      <c r="N5" t="s">
        <v>213</v>
      </c>
    </row>
    <row r="6" spans="1:22" ht="12.75">
      <c r="A6" s="63" t="s">
        <v>754</v>
      </c>
      <c r="B6" s="63"/>
      <c r="C6" s="64">
        <f>29000000000/2</f>
        <v>14500000000</v>
      </c>
      <c r="F6" s="9"/>
      <c r="G6" t="s">
        <v>267</v>
      </c>
      <c r="V6" t="s">
        <v>261</v>
      </c>
    </row>
    <row r="7" spans="1:6" ht="12.75">
      <c r="A7" s="63" t="s">
        <v>301</v>
      </c>
      <c r="B7" s="63"/>
      <c r="C7" s="64">
        <f>'Transport Safety'!E55</f>
        <v>43535012285.01228</v>
      </c>
      <c r="F7" s="9"/>
    </row>
    <row r="8" spans="1:7" ht="12.75">
      <c r="A8" s="63" t="s">
        <v>299</v>
      </c>
      <c r="B8" s="63"/>
      <c r="C8" s="64">
        <f>'Transport Safety'!E53*1000000000</f>
        <v>28230039911.642372</v>
      </c>
      <c r="D8" s="2"/>
      <c r="F8" s="9"/>
      <c r="G8" t="s">
        <v>312</v>
      </c>
    </row>
    <row r="9" spans="1:36" ht="12.75">
      <c r="A9" s="63" t="s">
        <v>771</v>
      </c>
      <c r="B9" s="63"/>
      <c r="C9" s="64">
        <f>D39</f>
        <v>345192500000</v>
      </c>
      <c r="F9" s="9"/>
      <c r="G9" t="s">
        <v>228</v>
      </c>
      <c r="P9" t="s">
        <v>262</v>
      </c>
      <c r="V9" s="3" t="s">
        <v>263</v>
      </c>
      <c r="AA9" t="s">
        <v>264</v>
      </c>
      <c r="AF9" s="3" t="s">
        <v>265</v>
      </c>
      <c r="AJ9" t="s">
        <v>266</v>
      </c>
    </row>
    <row r="10" spans="1:7" ht="12.75">
      <c r="A10" s="63"/>
      <c r="B10" s="63"/>
      <c r="C10" s="64">
        <f>SUM(C1:C9)</f>
        <v>2321167552196.6543</v>
      </c>
      <c r="G10" t="s">
        <v>197</v>
      </c>
    </row>
    <row r="11" spans="1:3" ht="12.75">
      <c r="A11" s="63"/>
      <c r="B11" s="63" t="s">
        <v>428</v>
      </c>
      <c r="C11" s="85">
        <f>$C$10/1000000000</f>
        <v>2321.1675521966545</v>
      </c>
    </row>
    <row r="13" ht="12.75">
      <c r="A13" s="56" t="s">
        <v>32</v>
      </c>
    </row>
    <row r="15" ht="12.75">
      <c r="D15" s="2"/>
    </row>
    <row r="16" ht="12.75">
      <c r="D16" s="17"/>
    </row>
    <row r="17" spans="1:4" ht="12.75">
      <c r="A17" t="s">
        <v>227</v>
      </c>
      <c r="D17" s="17"/>
    </row>
    <row r="19" spans="1:5" ht="12.75">
      <c r="A19" t="s">
        <v>762</v>
      </c>
      <c r="E19" t="s">
        <v>758</v>
      </c>
    </row>
    <row r="20" ht="12.75">
      <c r="A20" t="s">
        <v>763</v>
      </c>
    </row>
    <row r="21" ht="12.75">
      <c r="A21" t="s">
        <v>764</v>
      </c>
    </row>
    <row r="22" ht="12.75">
      <c r="A22" t="s">
        <v>765</v>
      </c>
    </row>
    <row r="23" ht="12.75">
      <c r="A23" t="s">
        <v>766</v>
      </c>
    </row>
    <row r="24" ht="12.75">
      <c r="A24" t="s">
        <v>767</v>
      </c>
    </row>
    <row r="25" ht="12.75">
      <c r="A25" t="s">
        <v>768</v>
      </c>
    </row>
    <row r="26" ht="12.75">
      <c r="A26" t="s">
        <v>760</v>
      </c>
    </row>
    <row r="27" ht="12.75">
      <c r="A27" t="s">
        <v>761</v>
      </c>
    </row>
    <row r="29" ht="12.75">
      <c r="D29" t="s">
        <v>769</v>
      </c>
    </row>
    <row r="30" spans="1:4" ht="12.75">
      <c r="A30" s="63" t="s">
        <v>759</v>
      </c>
      <c r="B30" s="63"/>
      <c r="C30" s="63"/>
      <c r="D30" s="64">
        <f>283500000000/2</f>
        <v>141750000000</v>
      </c>
    </row>
    <row r="31" spans="1:4" ht="12.75">
      <c r="A31" s="63" t="s">
        <v>755</v>
      </c>
      <c r="B31" s="63"/>
      <c r="C31" s="63"/>
      <c r="D31" s="64">
        <v>2000000000</v>
      </c>
    </row>
    <row r="32" spans="1:4" ht="12.75">
      <c r="A32" s="63" t="s">
        <v>756</v>
      </c>
      <c r="B32" s="63"/>
      <c r="C32" s="63"/>
      <c r="D32" s="64">
        <v>25000000000</v>
      </c>
    </row>
    <row r="33" spans="1:4" ht="12.75">
      <c r="A33" s="63" t="s">
        <v>757</v>
      </c>
      <c r="B33" s="63"/>
      <c r="C33" s="63"/>
      <c r="D33" s="64">
        <v>10400000000</v>
      </c>
    </row>
    <row r="34" spans="1:4" ht="12.75">
      <c r="A34" s="63"/>
      <c r="B34" s="63"/>
      <c r="C34" s="63"/>
      <c r="D34" s="64"/>
    </row>
    <row r="35" spans="1:4" ht="12.75">
      <c r="A35" s="63"/>
      <c r="B35" s="63"/>
      <c r="C35" s="63"/>
      <c r="D35" s="63"/>
    </row>
    <row r="36" spans="1:4" ht="12.75">
      <c r="A36" s="63" t="s">
        <v>229</v>
      </c>
      <c r="B36" s="63"/>
      <c r="C36" s="63"/>
      <c r="D36" s="64">
        <f>SUM(D30:D34)</f>
        <v>179150000000</v>
      </c>
    </row>
    <row r="37" spans="1:4" ht="12.75">
      <c r="A37" s="63" t="s">
        <v>230</v>
      </c>
      <c r="B37" s="63"/>
      <c r="C37" s="86">
        <v>0.95</v>
      </c>
      <c r="D37" s="70">
        <f>0.95*D36</f>
        <v>170192500000</v>
      </c>
    </row>
    <row r="38" spans="1:5" ht="12.75">
      <c r="A38" s="63" t="s">
        <v>232</v>
      </c>
      <c r="B38" s="63"/>
      <c r="C38" s="63" t="s">
        <v>770</v>
      </c>
      <c r="D38" s="64">
        <v>175000000000</v>
      </c>
      <c r="E38" t="s">
        <v>233</v>
      </c>
    </row>
    <row r="39" spans="1:4" ht="12.75">
      <c r="A39" s="63" t="s">
        <v>231</v>
      </c>
      <c r="B39" s="63"/>
      <c r="C39" s="63"/>
      <c r="D39" s="81">
        <f>SUM(D37:D38)</f>
        <v>345192500000</v>
      </c>
    </row>
    <row r="40" spans="1:4" ht="12.75">
      <c r="A40" s="63"/>
      <c r="B40" s="63"/>
      <c r="C40" s="63"/>
      <c r="D40" s="81"/>
    </row>
    <row r="41" spans="1:4" ht="12.75">
      <c r="A41" s="63"/>
      <c r="B41" s="63"/>
      <c r="C41" s="63"/>
      <c r="D41" s="81"/>
    </row>
    <row r="42" spans="1:4" ht="12.75">
      <c r="A42" s="63" t="s">
        <v>311</v>
      </c>
      <c r="B42" s="63"/>
      <c r="C42" s="63"/>
      <c r="D42" s="63"/>
    </row>
    <row r="43" spans="1:4" ht="12.75">
      <c r="A43" s="63"/>
      <c r="B43" s="87" t="s">
        <v>704</v>
      </c>
      <c r="C43" s="87" t="s">
        <v>705</v>
      </c>
      <c r="D43" s="87" t="s">
        <v>706</v>
      </c>
    </row>
    <row r="44" spans="1:18" ht="12.75">
      <c r="A44" s="63" t="s">
        <v>703</v>
      </c>
      <c r="B44" s="63">
        <v>0.61</v>
      </c>
      <c r="C44" s="63">
        <v>1.45</v>
      </c>
      <c r="D44" s="74">
        <f>B44/C44</f>
        <v>0.4206896551724138</v>
      </c>
      <c r="E44" t="s">
        <v>707</v>
      </c>
      <c r="K44" t="s">
        <v>708</v>
      </c>
      <c r="M44" t="s">
        <v>709</v>
      </c>
      <c r="R44" t="s">
        <v>710</v>
      </c>
    </row>
    <row r="45" spans="1:4" ht="12.75">
      <c r="A45" s="63" t="s">
        <v>711</v>
      </c>
      <c r="B45" s="63">
        <v>12.4</v>
      </c>
      <c r="C45" s="63">
        <v>36.4</v>
      </c>
      <c r="D45" s="74">
        <f>B45/C45</f>
        <v>0.34065934065934067</v>
      </c>
    </row>
    <row r="46" spans="1:4" ht="12.75">
      <c r="A46" s="63"/>
      <c r="B46" s="63"/>
      <c r="C46" s="63"/>
      <c r="D46" s="63"/>
    </row>
    <row r="50" spans="1:11" ht="15.75">
      <c r="A50" s="140" t="s">
        <v>31</v>
      </c>
      <c r="B50" s="123"/>
      <c r="C50" s="123"/>
      <c r="D50" s="123"/>
      <c r="E50" s="123"/>
      <c r="F50" s="123"/>
      <c r="G50" s="123"/>
      <c r="H50" s="123"/>
      <c r="I50" s="123"/>
      <c r="J50" s="123"/>
      <c r="K50" s="123"/>
    </row>
    <row r="51" ht="15.75">
      <c r="A51" s="1"/>
    </row>
    <row r="52" spans="1:11" ht="48.75" customHeight="1">
      <c r="A52" s="134" t="s">
        <v>36</v>
      </c>
      <c r="B52" s="129"/>
      <c r="C52" s="129"/>
      <c r="D52" s="129"/>
      <c r="E52" s="129"/>
      <c r="F52" s="129"/>
      <c r="G52" s="129"/>
      <c r="H52" s="129"/>
      <c r="I52" s="129"/>
      <c r="J52" s="129"/>
      <c r="K52" s="129"/>
    </row>
    <row r="53" ht="15.75">
      <c r="A53" s="1"/>
    </row>
    <row r="54" spans="1:11" ht="12.75">
      <c r="A54" s="134" t="s">
        <v>37</v>
      </c>
      <c r="B54" s="130"/>
      <c r="C54" s="130"/>
      <c r="D54" s="130"/>
      <c r="E54" s="130"/>
      <c r="F54" s="130"/>
      <c r="G54" s="130"/>
      <c r="H54" s="130"/>
      <c r="I54" s="130"/>
      <c r="J54" s="130"/>
      <c r="K54" s="130"/>
    </row>
    <row r="56" ht="12.75">
      <c r="A56" s="26" t="s">
        <v>38</v>
      </c>
    </row>
    <row r="57" ht="12.75">
      <c r="A57" s="26"/>
    </row>
    <row r="58" ht="12.75">
      <c r="A58" s="26" t="s">
        <v>39</v>
      </c>
    </row>
    <row r="59" ht="12.75">
      <c r="A59" s="26"/>
    </row>
    <row r="60" spans="1:11" ht="45.75" customHeight="1">
      <c r="A60" s="141" t="s">
        <v>40</v>
      </c>
      <c r="B60" s="130"/>
      <c r="C60" s="130"/>
      <c r="D60" s="130"/>
      <c r="E60" s="130"/>
      <c r="F60" s="130"/>
      <c r="G60" s="130"/>
      <c r="H60" s="130"/>
      <c r="I60" s="130"/>
      <c r="J60" s="130"/>
      <c r="K60" s="130"/>
    </row>
    <row r="61" ht="12.75">
      <c r="A61" s="26"/>
    </row>
    <row r="62" ht="12.75">
      <c r="A62" s="26" t="s">
        <v>41</v>
      </c>
    </row>
    <row r="63" ht="12.75">
      <c r="A63" s="26"/>
    </row>
    <row r="64" spans="1:11" ht="30" customHeight="1">
      <c r="A64" s="141" t="s">
        <v>42</v>
      </c>
      <c r="B64" s="130"/>
      <c r="C64" s="130"/>
      <c r="D64" s="130"/>
      <c r="E64" s="130"/>
      <c r="F64" s="130"/>
      <c r="G64" s="130"/>
      <c r="H64" s="130"/>
      <c r="I64" s="130"/>
      <c r="J64" s="130"/>
      <c r="K64" s="130"/>
    </row>
    <row r="65" ht="12.75">
      <c r="A65" s="26" t="s">
        <v>43</v>
      </c>
    </row>
    <row r="66" ht="12.75">
      <c r="A66" s="26"/>
    </row>
    <row r="67" ht="12.75">
      <c r="A67" s="26" t="s">
        <v>44</v>
      </c>
    </row>
    <row r="68" ht="12.75">
      <c r="A68" s="26"/>
    </row>
    <row r="69" spans="1:12" ht="29.25" customHeight="1">
      <c r="A69" s="136" t="s">
        <v>45</v>
      </c>
      <c r="B69" s="129"/>
      <c r="C69" s="129"/>
      <c r="D69" s="129"/>
      <c r="E69" s="129"/>
      <c r="F69" s="129"/>
      <c r="G69" s="129"/>
      <c r="H69" s="129"/>
      <c r="I69" s="129"/>
      <c r="J69" s="129"/>
      <c r="K69" s="129"/>
      <c r="L69" s="129"/>
    </row>
    <row r="70" ht="12.75">
      <c r="A70" s="26"/>
    </row>
    <row r="71" spans="1:9" ht="24" customHeight="1">
      <c r="A71" s="141" t="s">
        <v>46</v>
      </c>
      <c r="B71" s="130"/>
      <c r="C71" s="130"/>
      <c r="D71" s="130"/>
      <c r="E71" s="130"/>
      <c r="F71" s="130"/>
      <c r="G71" s="130"/>
      <c r="H71" s="130"/>
      <c r="I71" s="130"/>
    </row>
    <row r="72" ht="12.75">
      <c r="A72" s="26"/>
    </row>
    <row r="73" ht="12.75">
      <c r="A73" s="26" t="s">
        <v>47</v>
      </c>
    </row>
    <row r="74" ht="15.75">
      <c r="A74" s="1" t="s">
        <v>596</v>
      </c>
    </row>
  </sheetData>
  <mergeCells count="7">
    <mergeCell ref="A71:I71"/>
    <mergeCell ref="A60:K60"/>
    <mergeCell ref="A64:K64"/>
    <mergeCell ref="A50:K50"/>
    <mergeCell ref="A52:K52"/>
    <mergeCell ref="A54:K54"/>
    <mergeCell ref="A69:L69"/>
  </mergeCells>
  <hyperlinks>
    <hyperlink ref="V9" r:id="rId1" display="http://www.sciencedirect.com/science?_ob=ArticleURL&amp;_udi=B6WJ6-4NF2NCH-2&amp;_user=10&amp;_coverDate=07%2F31%2F2007&amp;_rdoc=1&amp;_fmt=full&amp;_orig=na&amp;_cdi=6870&amp;_docanchor=&amp;_acct=C000050221&amp;_version=1&amp;_urlVersion=0&amp;_userid=10&amp;md5=14da2390f4e99604ff928c351c36ad06#implicit0"/>
    <hyperlink ref="AF9" r:id="rId2" display="http://www.sciencedirect.com/science?_ob=PublicationURL&amp;_tockey=%23TOC%236870%232007%23999459998%23661611%23FLA%23&amp;_cdi=6870&amp;_pubType=J&amp;_auth=y&amp;_acct=C000050221&amp;_version=1&amp;_urlVersion=0&amp;_userid=10&amp;md5=fc5639f8ff52d67728bfb57cea13ebe2"/>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73"/>
  <sheetViews>
    <sheetView workbookViewId="0" topLeftCell="A1">
      <selection activeCell="A1" sqref="A1"/>
    </sheetView>
  </sheetViews>
  <sheetFormatPr defaultColWidth="9.140625" defaultRowHeight="12.75"/>
  <cols>
    <col min="1" max="1" width="93.57421875" style="0" customWidth="1"/>
  </cols>
  <sheetData>
    <row r="1" ht="12.75">
      <c r="A1" t="s">
        <v>7</v>
      </c>
    </row>
    <row r="3" spans="1:4" ht="12.75">
      <c r="A3" t="s">
        <v>217</v>
      </c>
      <c r="D3" t="s">
        <v>260</v>
      </c>
    </row>
    <row r="5" spans="1:4" ht="12.75">
      <c r="A5" t="s">
        <v>472</v>
      </c>
      <c r="D5" s="4">
        <f>1-Rgrid!C63</f>
        <v>0.009383045451783367</v>
      </c>
    </row>
    <row r="7" spans="1:3" ht="12.75">
      <c r="A7" t="s">
        <v>473</v>
      </c>
      <c r="B7">
        <f>0.0189*29</f>
        <v>0.5481</v>
      </c>
      <c r="C7" t="s">
        <v>474</v>
      </c>
    </row>
    <row r="8" spans="1:2" ht="12.75">
      <c r="A8" t="s">
        <v>476</v>
      </c>
      <c r="B8">
        <f>(1-0.4*0.95)*B7</f>
        <v>0.339822</v>
      </c>
    </row>
    <row r="9" spans="1:2" ht="12.75">
      <c r="A9" t="s">
        <v>475</v>
      </c>
      <c r="B9">
        <f>0.85*B8/2+0.15*B7</f>
        <v>0.22663935000000002</v>
      </c>
    </row>
    <row r="10" spans="1:2" ht="12.75">
      <c r="A10" t="s">
        <v>477</v>
      </c>
      <c r="B10">
        <f>B9*2.5</f>
        <v>0.5665983750000001</v>
      </c>
    </row>
    <row r="11" spans="1:4" ht="12.75">
      <c r="A11" t="s">
        <v>478</v>
      </c>
      <c r="D11">
        <f>B10</f>
        <v>0.5665983750000001</v>
      </c>
    </row>
    <row r="12" ht="12.75">
      <c r="A12" t="s">
        <v>479</v>
      </c>
    </row>
    <row r="13" spans="1:2" ht="12.75">
      <c r="A13" t="s">
        <v>480</v>
      </c>
      <c r="B13">
        <f>0.1765*29</f>
        <v>5.1185</v>
      </c>
    </row>
    <row r="14" spans="1:2" ht="12.75">
      <c r="A14" t="s">
        <v>481</v>
      </c>
      <c r="B14">
        <f>B13*0.15</f>
        <v>0.767775</v>
      </c>
    </row>
    <row r="15" spans="1:2" ht="12.75">
      <c r="A15" t="s">
        <v>482</v>
      </c>
      <c r="B15">
        <f>B14/2</f>
        <v>0.3838875</v>
      </c>
    </row>
    <row r="16" spans="1:4" ht="12.75">
      <c r="A16" t="s">
        <v>483</v>
      </c>
      <c r="D16">
        <f>B15</f>
        <v>0.3838875</v>
      </c>
    </row>
    <row r="18" spans="1:2" ht="12.75">
      <c r="A18" t="s">
        <v>484</v>
      </c>
      <c r="B18">
        <f>33/2</f>
        <v>16.5</v>
      </c>
    </row>
    <row r="19" spans="1:2" ht="12.75">
      <c r="A19" t="s">
        <v>485</v>
      </c>
      <c r="B19">
        <f>0.7*B18</f>
        <v>11.549999999999999</v>
      </c>
    </row>
    <row r="20" spans="1:3" ht="12.75">
      <c r="A20" t="s">
        <v>486</v>
      </c>
      <c r="B20">
        <f>0.2*B19</f>
        <v>2.31</v>
      </c>
      <c r="C20">
        <f>B20</f>
        <v>2.31</v>
      </c>
    </row>
    <row r="21" spans="1:3" ht="12.75">
      <c r="A21" t="s">
        <v>487</v>
      </c>
      <c r="C21">
        <v>2</v>
      </c>
    </row>
    <row r="22" ht="12.75">
      <c r="A22" t="s">
        <v>488</v>
      </c>
    </row>
    <row r="24" spans="1:4" ht="12.75">
      <c r="A24" t="s">
        <v>489</v>
      </c>
      <c r="D24">
        <v>1</v>
      </c>
    </row>
    <row r="26" spans="1:4" ht="12.75">
      <c r="A26" t="s">
        <v>490</v>
      </c>
      <c r="D26">
        <v>0.07</v>
      </c>
    </row>
    <row r="28" spans="1:4" ht="12.75">
      <c r="A28" t="s">
        <v>491</v>
      </c>
      <c r="D28">
        <f>0.29/5</f>
        <v>0.057999999999999996</v>
      </c>
    </row>
    <row r="30" spans="1:2" ht="12.75">
      <c r="A30" t="s">
        <v>492</v>
      </c>
      <c r="B30">
        <f>0.035*33</f>
        <v>1.155</v>
      </c>
    </row>
    <row r="31" spans="1:4" ht="12.75">
      <c r="A31" t="s">
        <v>493</v>
      </c>
      <c r="D31">
        <f>B30/2</f>
        <v>0.5775</v>
      </c>
    </row>
    <row r="32" ht="12.75">
      <c r="A32" t="s">
        <v>494</v>
      </c>
    </row>
    <row r="34" spans="1:2" ht="12.75">
      <c r="A34" t="s">
        <v>376</v>
      </c>
      <c r="B34">
        <f>0.0443*33</f>
        <v>1.4619</v>
      </c>
    </row>
    <row r="35" spans="1:4" ht="25.5">
      <c r="A35" s="53" t="s">
        <v>377</v>
      </c>
      <c r="D35" s="48">
        <f>B34*0.75*0.8</f>
        <v>0.87714</v>
      </c>
    </row>
    <row r="36" spans="1:2" ht="12.75">
      <c r="A36" t="s">
        <v>495</v>
      </c>
      <c r="B36">
        <f>0.014*33</f>
        <v>0.462</v>
      </c>
    </row>
    <row r="37" spans="1:4" ht="12.75">
      <c r="A37" t="s">
        <v>496</v>
      </c>
      <c r="D37">
        <f>B36/2</f>
        <v>0.231</v>
      </c>
    </row>
    <row r="38" spans="1:4" ht="12.75">
      <c r="A38" t="s">
        <v>497</v>
      </c>
      <c r="D38">
        <f>0.0333*33*0.05</f>
        <v>0.054945000000000015</v>
      </c>
    </row>
    <row r="39" spans="1:4" ht="12.75">
      <c r="A39" t="s">
        <v>103</v>
      </c>
      <c r="D39">
        <f>SUM(D5:D38)</f>
        <v>3.828453920451783</v>
      </c>
    </row>
    <row r="40" spans="1:4" ht="12.75">
      <c r="A40" t="s">
        <v>498</v>
      </c>
      <c r="D40">
        <f>8-D39</f>
        <v>4.171546079548217</v>
      </c>
    </row>
    <row r="43" spans="1:2" ht="12.75">
      <c r="A43" t="s">
        <v>499</v>
      </c>
      <c r="B43" t="s">
        <v>374</v>
      </c>
    </row>
    <row r="45" ht="12.75">
      <c r="A45" t="s">
        <v>562</v>
      </c>
    </row>
    <row r="46" ht="12.75">
      <c r="A46" t="s">
        <v>563</v>
      </c>
    </row>
    <row r="47" ht="12.75">
      <c r="A47" t="s">
        <v>564</v>
      </c>
    </row>
    <row r="50" ht="12.75">
      <c r="A50" t="s">
        <v>586</v>
      </c>
    </row>
    <row r="51" ht="12.75">
      <c r="A51" t="s">
        <v>593</v>
      </c>
    </row>
    <row r="53" ht="12.75">
      <c r="A53" t="s">
        <v>587</v>
      </c>
    </row>
    <row r="54" ht="12.75">
      <c r="A54" t="s">
        <v>588</v>
      </c>
    </row>
    <row r="55" ht="12.75">
      <c r="A55" t="s">
        <v>589</v>
      </c>
    </row>
    <row r="56" ht="12.75">
      <c r="A56" t="s">
        <v>590</v>
      </c>
    </row>
    <row r="57" ht="12.75">
      <c r="A57" t="s">
        <v>375</v>
      </c>
    </row>
    <row r="58" ht="12.75">
      <c r="A58" t="s">
        <v>591</v>
      </c>
    </row>
    <row r="59" ht="12.75">
      <c r="A59" t="s">
        <v>592</v>
      </c>
    </row>
    <row r="63" ht="12.75">
      <c r="A63" t="s">
        <v>337</v>
      </c>
    </row>
    <row r="64" ht="12.75">
      <c r="A64" t="s">
        <v>338</v>
      </c>
    </row>
    <row r="65" ht="12.75">
      <c r="A65" t="s">
        <v>339</v>
      </c>
    </row>
    <row r="66" ht="12.75">
      <c r="A66" t="s">
        <v>340</v>
      </c>
    </row>
    <row r="67" ht="12.75">
      <c r="A67" t="s">
        <v>341</v>
      </c>
    </row>
    <row r="68" spans="1:2" ht="12.75">
      <c r="A68" t="s">
        <v>343</v>
      </c>
      <c r="B68" s="29"/>
    </row>
    <row r="69" spans="1:3" ht="12.75">
      <c r="A69" t="s">
        <v>342</v>
      </c>
      <c r="B69">
        <f>0.57*29*0.14</f>
        <v>2.3142</v>
      </c>
      <c r="C69" t="s">
        <v>88</v>
      </c>
    </row>
    <row r="71" ht="12.75">
      <c r="A71" t="s">
        <v>344</v>
      </c>
    </row>
    <row r="72" ht="12.75">
      <c r="A72" t="s">
        <v>345</v>
      </c>
    </row>
    <row r="73" ht="12.75">
      <c r="A73" t="s">
        <v>346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78"/>
  <sheetViews>
    <sheetView workbookViewId="0" topLeftCell="A1">
      <selection activeCell="B23" sqref="B23"/>
    </sheetView>
  </sheetViews>
  <sheetFormatPr defaultColWidth="9.140625" defaultRowHeight="12.75"/>
  <cols>
    <col min="1" max="1" width="72.00390625" style="0" customWidth="1"/>
    <col min="2" max="2" width="16.00390625" style="0" customWidth="1"/>
    <col min="3" max="3" width="77.421875" style="0" customWidth="1"/>
  </cols>
  <sheetData>
    <row r="1" ht="12.75">
      <c r="A1" t="s">
        <v>72</v>
      </c>
    </row>
    <row r="2" spans="1:2" ht="12.75">
      <c r="A2" s="63" t="s">
        <v>655</v>
      </c>
      <c r="B2" s="63" t="s">
        <v>665</v>
      </c>
    </row>
    <row r="3" spans="1:4" ht="15.75">
      <c r="A3" s="63" t="s">
        <v>656</v>
      </c>
      <c r="B3" s="63">
        <v>450</v>
      </c>
      <c r="C3" s="1" t="s">
        <v>67</v>
      </c>
      <c r="D3" s="1" t="s">
        <v>8</v>
      </c>
    </row>
    <row r="4" spans="1:4" ht="15.75">
      <c r="A4" s="63"/>
      <c r="B4" s="63"/>
      <c r="C4" t="s">
        <v>663</v>
      </c>
      <c r="D4" s="1" t="s">
        <v>661</v>
      </c>
    </row>
    <row r="5" spans="1:4" ht="15.75">
      <c r="A5" s="63"/>
      <c r="B5" s="63"/>
      <c r="C5" t="s">
        <v>664</v>
      </c>
      <c r="D5" s="1" t="s">
        <v>662</v>
      </c>
    </row>
    <row r="6" spans="1:3" ht="12.75">
      <c r="A6" s="63" t="s">
        <v>147</v>
      </c>
      <c r="B6" s="63">
        <v>500</v>
      </c>
      <c r="C6" t="s">
        <v>148</v>
      </c>
    </row>
    <row r="7" spans="1:3" ht="12.75">
      <c r="A7" s="63" t="s">
        <v>658</v>
      </c>
      <c r="B7" s="63">
        <v>500</v>
      </c>
      <c r="C7" t="s">
        <v>752</v>
      </c>
    </row>
    <row r="8" spans="1:3" ht="12.75">
      <c r="A8" s="63" t="s">
        <v>149</v>
      </c>
      <c r="B8" s="63">
        <v>50</v>
      </c>
      <c r="C8" t="s">
        <v>150</v>
      </c>
    </row>
    <row r="9" spans="1:3" ht="12.75">
      <c r="A9" s="63" t="s">
        <v>674</v>
      </c>
      <c r="B9" s="63"/>
      <c r="C9" t="s">
        <v>48</v>
      </c>
    </row>
    <row r="10" spans="1:3" ht="12.75">
      <c r="A10" s="63" t="s">
        <v>448</v>
      </c>
      <c r="B10" s="63">
        <v>100</v>
      </c>
      <c r="C10" t="s">
        <v>449</v>
      </c>
    </row>
    <row r="11" spans="1:3" ht="12.75">
      <c r="A11" s="63" t="s">
        <v>86</v>
      </c>
      <c r="B11" s="64">
        <v>2000</v>
      </c>
      <c r="C11" t="s">
        <v>83</v>
      </c>
    </row>
    <row r="12" spans="1:3" ht="12.75">
      <c r="A12" s="63"/>
      <c r="B12" s="64"/>
      <c r="C12" t="s">
        <v>84</v>
      </c>
    </row>
    <row r="13" spans="1:3" ht="12.75">
      <c r="A13" s="63" t="s">
        <v>666</v>
      </c>
      <c r="B13" s="64">
        <f>17/21*B11*0.8</f>
        <v>1295.2380952380954</v>
      </c>
      <c r="C13" t="s">
        <v>118</v>
      </c>
    </row>
    <row r="14" spans="1:4" ht="12.75">
      <c r="A14" s="63" t="s">
        <v>659</v>
      </c>
      <c r="B14" s="64">
        <v>2000</v>
      </c>
      <c r="C14" t="s">
        <v>119</v>
      </c>
      <c r="D14" t="s">
        <v>633</v>
      </c>
    </row>
    <row r="15" spans="1:2" ht="12.75">
      <c r="A15" s="63" t="s">
        <v>105</v>
      </c>
      <c r="B15" s="64"/>
    </row>
    <row r="16" spans="1:3" ht="12.75">
      <c r="A16" s="66" t="s">
        <v>103</v>
      </c>
      <c r="B16" s="103">
        <f>SUM(B3:B15)</f>
        <v>6895.238095238095</v>
      </c>
      <c r="C16" s="6" t="s">
        <v>50</v>
      </c>
    </row>
    <row r="17" spans="1:3" ht="12.75">
      <c r="A17" s="7"/>
      <c r="B17" s="8"/>
      <c r="C17" s="7"/>
    </row>
    <row r="20" spans="1:3" ht="12.75">
      <c r="A20" s="63" t="s">
        <v>85</v>
      </c>
      <c r="B20" s="63">
        <v>100</v>
      </c>
      <c r="C20" s="63" t="s">
        <v>88</v>
      </c>
    </row>
    <row r="21" spans="1:3" ht="12.75">
      <c r="A21" s="63" t="s">
        <v>87</v>
      </c>
      <c r="B21" s="63"/>
      <c r="C21" s="63"/>
    </row>
    <row r="22" spans="1:3" ht="12.75">
      <c r="A22" s="63" t="s">
        <v>89</v>
      </c>
      <c r="B22" s="63">
        <v>20</v>
      </c>
      <c r="C22" s="63" t="s">
        <v>88</v>
      </c>
    </row>
    <row r="23" spans="1:3" ht="12.75">
      <c r="A23" s="63" t="s">
        <v>90</v>
      </c>
      <c r="B23" s="63">
        <v>40</v>
      </c>
      <c r="C23" s="63" t="s">
        <v>88</v>
      </c>
    </row>
    <row r="24" spans="1:3" ht="12.75">
      <c r="A24" s="63" t="s">
        <v>91</v>
      </c>
      <c r="B24" s="63">
        <v>60</v>
      </c>
      <c r="C24" s="63" t="s">
        <v>88</v>
      </c>
    </row>
    <row r="26" spans="1:2" ht="12.75">
      <c r="A26" s="63" t="s">
        <v>96</v>
      </c>
      <c r="B26" s="63">
        <f>293000000000*B22</f>
        <v>5860000000000</v>
      </c>
    </row>
    <row r="27" spans="1:2" ht="12.75">
      <c r="A27" s="63" t="s">
        <v>97</v>
      </c>
      <c r="B27" s="63">
        <f>293000000000*B23</f>
        <v>11720000000000</v>
      </c>
    </row>
    <row r="28" spans="1:2" ht="12.75">
      <c r="A28" s="63" t="s">
        <v>98</v>
      </c>
      <c r="B28" s="63">
        <f>293000000000*B24</f>
        <v>17580000000000</v>
      </c>
    </row>
    <row r="30" ht="12.75">
      <c r="A30" t="s">
        <v>92</v>
      </c>
    </row>
    <row r="31" ht="12.75">
      <c r="A31" t="s">
        <v>93</v>
      </c>
    </row>
    <row r="32" ht="12.75">
      <c r="A32" t="s">
        <v>94</v>
      </c>
    </row>
    <row r="33" ht="12.75">
      <c r="A33" t="s">
        <v>95</v>
      </c>
    </row>
    <row r="38" ht="12.75">
      <c r="A38" t="s">
        <v>159</v>
      </c>
    </row>
    <row r="39" spans="1:2" ht="12.75">
      <c r="A39" t="s">
        <v>655</v>
      </c>
      <c r="B39" t="s">
        <v>665</v>
      </c>
    </row>
    <row r="40" spans="1:3" ht="15.75">
      <c r="A40" s="63" t="s">
        <v>656</v>
      </c>
      <c r="B40" s="63">
        <v>400</v>
      </c>
      <c r="C40" s="108" t="s">
        <v>67</v>
      </c>
    </row>
    <row r="41" spans="1:4" ht="15.75">
      <c r="A41" s="63"/>
      <c r="B41" s="63"/>
      <c r="C41" s="63" t="s">
        <v>663</v>
      </c>
      <c r="D41" s="1" t="s">
        <v>660</v>
      </c>
    </row>
    <row r="42" spans="1:4" ht="15.75">
      <c r="A42" s="63"/>
      <c r="B42" s="63"/>
      <c r="C42" s="63" t="s">
        <v>664</v>
      </c>
      <c r="D42" s="1" t="s">
        <v>661</v>
      </c>
    </row>
    <row r="43" spans="1:4" ht="15.75">
      <c r="A43" s="63" t="s">
        <v>657</v>
      </c>
      <c r="B43" s="63">
        <v>500</v>
      </c>
      <c r="C43" s="63" t="s">
        <v>151</v>
      </c>
      <c r="D43" s="1" t="s">
        <v>662</v>
      </c>
    </row>
    <row r="44" spans="1:3" ht="12.75">
      <c r="A44" s="63" t="s">
        <v>658</v>
      </c>
      <c r="B44" s="63">
        <v>500</v>
      </c>
      <c r="C44" s="63" t="s">
        <v>752</v>
      </c>
    </row>
    <row r="45" spans="1:3" ht="12.75">
      <c r="A45" s="63" t="s">
        <v>668</v>
      </c>
      <c r="B45" s="63">
        <v>50</v>
      </c>
      <c r="C45" s="63" t="s">
        <v>676</v>
      </c>
    </row>
    <row r="46" spans="1:3" ht="12.75">
      <c r="A46" s="63" t="s">
        <v>674</v>
      </c>
      <c r="B46" s="63"/>
      <c r="C46" s="63" t="s">
        <v>48</v>
      </c>
    </row>
    <row r="47" spans="1:3" ht="12.75">
      <c r="A47" s="63" t="s">
        <v>445</v>
      </c>
      <c r="B47" s="63">
        <v>100</v>
      </c>
      <c r="C47" s="63" t="s">
        <v>447</v>
      </c>
    </row>
    <row r="48" spans="1:3" ht="12.75">
      <c r="A48" s="63" t="s">
        <v>120</v>
      </c>
      <c r="B48" s="64">
        <v>1200</v>
      </c>
      <c r="C48" s="63" t="s">
        <v>446</v>
      </c>
    </row>
    <row r="49" spans="1:3" ht="12.75">
      <c r="A49" s="63"/>
      <c r="B49" s="64"/>
      <c r="C49" s="63" t="s">
        <v>84</v>
      </c>
    </row>
    <row r="50" spans="1:3" ht="12.75">
      <c r="A50" s="63" t="s">
        <v>666</v>
      </c>
      <c r="B50" s="64">
        <v>1295</v>
      </c>
      <c r="C50" s="63"/>
    </row>
    <row r="51" spans="1:4" ht="12.75">
      <c r="A51" s="63" t="s">
        <v>659</v>
      </c>
      <c r="B51" s="64">
        <v>900</v>
      </c>
      <c r="C51" s="63">
        <v>40</v>
      </c>
      <c r="D51" t="s">
        <v>633</v>
      </c>
    </row>
    <row r="52" spans="1:3" ht="12.75">
      <c r="A52" s="63" t="s">
        <v>105</v>
      </c>
      <c r="B52" s="64"/>
      <c r="C52" s="63"/>
    </row>
    <row r="53" spans="1:3" ht="12.75">
      <c r="A53" s="66" t="s">
        <v>103</v>
      </c>
      <c r="B53" s="103">
        <f>SUM(B40:B52)</f>
        <v>4945</v>
      </c>
      <c r="C53" s="66" t="s">
        <v>50</v>
      </c>
    </row>
    <row r="54" spans="1:3" ht="12.75">
      <c r="A54" s="7"/>
      <c r="B54" s="8"/>
      <c r="C54" s="7"/>
    </row>
    <row r="57" spans="1:3" ht="12.75">
      <c r="A57" s="63" t="s">
        <v>85</v>
      </c>
      <c r="B57" s="63">
        <v>100</v>
      </c>
      <c r="C57" s="63" t="s">
        <v>88</v>
      </c>
    </row>
    <row r="58" spans="1:3" ht="12.75">
      <c r="A58" s="63" t="s">
        <v>122</v>
      </c>
      <c r="B58" s="63"/>
      <c r="C58" s="63"/>
    </row>
    <row r="59" spans="1:3" ht="12.75">
      <c r="A59" s="63" t="s">
        <v>89</v>
      </c>
      <c r="B59" s="63">
        <v>40</v>
      </c>
      <c r="C59" s="63" t="s">
        <v>88</v>
      </c>
    </row>
    <row r="60" spans="1:3" ht="12.75">
      <c r="A60" s="63" t="s">
        <v>90</v>
      </c>
      <c r="B60" s="63">
        <v>55</v>
      </c>
      <c r="C60" s="63" t="s">
        <v>88</v>
      </c>
    </row>
    <row r="61" spans="1:3" ht="12.75">
      <c r="A61" s="63" t="s">
        <v>91</v>
      </c>
      <c r="B61" s="63">
        <v>70</v>
      </c>
      <c r="C61" s="63" t="s">
        <v>88</v>
      </c>
    </row>
    <row r="63" spans="1:2" ht="12.75">
      <c r="A63" s="63" t="s">
        <v>96</v>
      </c>
      <c r="B63" s="63">
        <f>B59*Renewtech!B3</f>
        <v>11720000000000</v>
      </c>
    </row>
    <row r="64" spans="1:2" ht="12.75">
      <c r="A64" s="63" t="s">
        <v>97</v>
      </c>
      <c r="B64" s="63">
        <f>293000000000*B60</f>
        <v>16115000000000</v>
      </c>
    </row>
    <row r="65" spans="1:2" ht="12.75">
      <c r="A65" s="63" t="s">
        <v>98</v>
      </c>
      <c r="B65" s="63">
        <f>293000000000*B61</f>
        <v>20510000000000</v>
      </c>
    </row>
    <row r="67" ht="12.75">
      <c r="A67" t="s">
        <v>92</v>
      </c>
    </row>
    <row r="68" ht="12.75">
      <c r="A68" t="s">
        <v>93</v>
      </c>
    </row>
    <row r="69" ht="12.75">
      <c r="A69" t="s">
        <v>94</v>
      </c>
    </row>
    <row r="70" ht="12.75">
      <c r="A70" t="s">
        <v>95</v>
      </c>
    </row>
    <row r="77" ht="12.75">
      <c r="A77" s="2"/>
    </row>
    <row r="78" spans="1:2" ht="12.75">
      <c r="A78" s="2"/>
      <c r="B78" s="1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43"/>
  <sheetViews>
    <sheetView workbookViewId="0" topLeftCell="A1">
      <selection activeCell="A1" sqref="A1"/>
    </sheetView>
  </sheetViews>
  <sheetFormatPr defaultColWidth="9.140625" defaultRowHeight="12.75"/>
  <cols>
    <col min="1" max="1" width="39.28125" style="0" customWidth="1"/>
    <col min="2" max="2" width="17.421875" style="0" customWidth="1"/>
    <col min="3" max="3" width="95.28125" style="0" customWidth="1"/>
    <col min="4" max="4" width="18.57421875" style="0" customWidth="1"/>
  </cols>
  <sheetData>
    <row r="1" ht="12.75">
      <c r="B1" t="s">
        <v>673</v>
      </c>
    </row>
    <row r="2" spans="1:4" ht="12.75">
      <c r="A2" s="63" t="s">
        <v>172</v>
      </c>
      <c r="B2" s="98">
        <v>4064702000000</v>
      </c>
      <c r="C2" t="s">
        <v>171</v>
      </c>
      <c r="D2" s="2"/>
    </row>
    <row r="3" spans="1:2" ht="12.75">
      <c r="A3" s="63" t="s">
        <v>173</v>
      </c>
      <c r="B3" s="64">
        <v>293000000000</v>
      </c>
    </row>
    <row r="4" spans="1:2" ht="12.75">
      <c r="A4" s="63" t="s">
        <v>174</v>
      </c>
      <c r="B4" s="63">
        <f>B2/B3</f>
        <v>13.872703071672355</v>
      </c>
    </row>
    <row r="6" ht="15.75">
      <c r="A6" s="13" t="s">
        <v>175</v>
      </c>
    </row>
    <row r="8" spans="1:3" ht="12.75">
      <c r="A8" s="63" t="s">
        <v>51</v>
      </c>
      <c r="B8" s="63" t="s">
        <v>52</v>
      </c>
      <c r="C8" s="100" t="s">
        <v>53</v>
      </c>
    </row>
    <row r="9" spans="1:2" ht="12.75">
      <c r="A9" s="63" t="s">
        <v>54</v>
      </c>
      <c r="B9" s="64">
        <f>(1300+1700)/2</f>
        <v>1500</v>
      </c>
    </row>
    <row r="10" spans="1:3" ht="12.75">
      <c r="A10" s="63" t="s">
        <v>55</v>
      </c>
      <c r="B10" s="74">
        <v>0.305</v>
      </c>
      <c r="C10" s="100" t="s">
        <v>56</v>
      </c>
    </row>
    <row r="11" spans="1:3" ht="12.75">
      <c r="A11" s="63" t="s">
        <v>57</v>
      </c>
      <c r="B11" s="64">
        <f>365*24*B10</f>
        <v>2671.7999999999997</v>
      </c>
      <c r="C11" t="s">
        <v>58</v>
      </c>
    </row>
    <row r="12" spans="1:3" ht="12.75">
      <c r="A12" s="63" t="s">
        <v>59</v>
      </c>
      <c r="B12" s="64">
        <f>B2/B11</f>
        <v>1521334680.7395766</v>
      </c>
      <c r="C12" t="s">
        <v>60</v>
      </c>
    </row>
    <row r="13" spans="1:3" ht="12.75">
      <c r="A13" s="63" t="s">
        <v>63</v>
      </c>
      <c r="B13" s="64">
        <f>B12*1.1</f>
        <v>1673468148.8135343</v>
      </c>
      <c r="C13" t="s">
        <v>60</v>
      </c>
    </row>
    <row r="14" spans="1:3" ht="63.75">
      <c r="A14" s="79" t="s">
        <v>420</v>
      </c>
      <c r="B14" s="64">
        <f>1.2*B12</f>
        <v>1825601616.887492</v>
      </c>
      <c r="C14" t="s">
        <v>60</v>
      </c>
    </row>
    <row r="15" spans="1:3" ht="12.75">
      <c r="A15" s="63" t="s">
        <v>421</v>
      </c>
      <c r="B15" s="64">
        <f>B14*B9/1000000000</f>
        <v>2738.4024253312377</v>
      </c>
      <c r="C15" t="s">
        <v>62</v>
      </c>
    </row>
    <row r="16" spans="1:4" ht="12.75">
      <c r="A16" s="63" t="s">
        <v>170</v>
      </c>
      <c r="B16" s="64">
        <f>B12*350*3/1000000000</f>
        <v>1597.4014147765554</v>
      </c>
      <c r="C16" t="s">
        <v>62</v>
      </c>
      <c r="D16" s="55"/>
    </row>
    <row r="17" spans="1:3" ht="12.75">
      <c r="A17" s="63" t="s">
        <v>584</v>
      </c>
      <c r="B17" s="64">
        <v>450</v>
      </c>
      <c r="C17" t="s">
        <v>68</v>
      </c>
    </row>
    <row r="18" spans="1:3" ht="12.75">
      <c r="A18" s="63"/>
      <c r="B18" s="64"/>
      <c r="C18" t="s">
        <v>69</v>
      </c>
    </row>
    <row r="19" spans="1:3" ht="12.75">
      <c r="A19" s="63"/>
      <c r="B19" s="64"/>
      <c r="C19" t="s">
        <v>70</v>
      </c>
    </row>
    <row r="20" spans="1:3" ht="12.75">
      <c r="A20" s="63" t="s">
        <v>66</v>
      </c>
      <c r="B20" s="64">
        <f>(800*B14/2)/1000000000</f>
        <v>730.2406467549969</v>
      </c>
      <c r="C20" t="s">
        <v>62</v>
      </c>
    </row>
    <row r="21" spans="1:3" ht="12.75">
      <c r="A21" s="63" t="s">
        <v>671</v>
      </c>
      <c r="B21" s="64">
        <f>SUM(B15:B20)</f>
        <v>5516.04448686279</v>
      </c>
      <c r="C21" t="s">
        <v>62</v>
      </c>
    </row>
    <row r="22" spans="1:2" ht="12.75">
      <c r="A22" s="63" t="s">
        <v>114</v>
      </c>
      <c r="B22" s="101">
        <f>B21*1000000000/B12</f>
        <v>3625.792901915073</v>
      </c>
    </row>
    <row r="23" spans="1:2" ht="12.75">
      <c r="A23" s="63" t="s">
        <v>236</v>
      </c>
      <c r="B23" s="63"/>
    </row>
    <row r="24" spans="1:2" ht="12.75">
      <c r="A24" s="63" t="s">
        <v>237</v>
      </c>
      <c r="B24" s="105">
        <f>B21*1000000000/B2</f>
        <v>1.3570599977225366</v>
      </c>
    </row>
    <row r="26" spans="1:3" ht="12.75">
      <c r="A26" s="63" t="s">
        <v>73</v>
      </c>
      <c r="B26" s="63" t="s">
        <v>101</v>
      </c>
      <c r="C26" t="s">
        <v>74</v>
      </c>
    </row>
    <row r="27" spans="1:3" ht="12.75">
      <c r="A27" s="63" t="s">
        <v>78</v>
      </c>
      <c r="B27" s="64">
        <v>3389</v>
      </c>
      <c r="C27" t="s">
        <v>75</v>
      </c>
    </row>
    <row r="28" spans="1:2" ht="12.75">
      <c r="A28" s="63" t="s">
        <v>176</v>
      </c>
      <c r="B28" s="64">
        <f>365*24*0.4</f>
        <v>3504</v>
      </c>
    </row>
    <row r="29" spans="1:3" ht="12.75">
      <c r="A29" s="63" t="s">
        <v>79</v>
      </c>
      <c r="B29" s="64">
        <f>B2/B28</f>
        <v>1160017694.063927</v>
      </c>
      <c r="C29" s="17"/>
    </row>
    <row r="30" spans="1:2" ht="12.75">
      <c r="A30" s="63" t="s">
        <v>76</v>
      </c>
      <c r="B30" s="64">
        <f>B29*1.1</f>
        <v>1276019463.4703197</v>
      </c>
    </row>
    <row r="31" spans="1:2" ht="12.75">
      <c r="A31" s="63" t="s">
        <v>77</v>
      </c>
      <c r="B31" s="64">
        <f>B30*1.04666666666667</f>
        <v>1335567038.4322722</v>
      </c>
    </row>
    <row r="32" spans="1:2" ht="12.75">
      <c r="A32" s="63" t="s">
        <v>127</v>
      </c>
      <c r="B32" s="64">
        <f>B31*B27/1000000000</f>
        <v>4526.23669324697</v>
      </c>
    </row>
    <row r="33" spans="1:2" ht="12.75">
      <c r="A33" s="63" t="s">
        <v>128</v>
      </c>
      <c r="B33" s="64">
        <f>B32*1.1</f>
        <v>4978.860362571668</v>
      </c>
    </row>
    <row r="34" spans="1:2" ht="12.75">
      <c r="A34" s="63" t="s">
        <v>81</v>
      </c>
      <c r="B34" s="64">
        <v>300</v>
      </c>
    </row>
    <row r="35" spans="1:2" ht="12.75">
      <c r="A35" s="63" t="s">
        <v>82</v>
      </c>
      <c r="B35" s="64">
        <f>40*18*B30/10000000000</f>
        <v>91.87340136986302</v>
      </c>
    </row>
    <row r="36" spans="1:3" ht="12.75">
      <c r="A36" s="63" t="s">
        <v>66</v>
      </c>
      <c r="B36" s="64">
        <f>(800*B31/2)/1000000000</f>
        <v>534.2268153729088</v>
      </c>
      <c r="C36" t="s">
        <v>62</v>
      </c>
    </row>
    <row r="37" spans="1:2" ht="12.75">
      <c r="A37" s="63" t="s">
        <v>80</v>
      </c>
      <c r="B37" s="64">
        <f>SUM(B33:B36)</f>
        <v>5904.96057931444</v>
      </c>
    </row>
    <row r="38" spans="1:2" ht="12.75">
      <c r="A38" s="63" t="s">
        <v>78</v>
      </c>
      <c r="B38" s="101">
        <f>B37*1000000000/B29</f>
        <v>5090.405611510462</v>
      </c>
    </row>
    <row r="39" spans="1:2" ht="12.75">
      <c r="A39" s="63" t="s">
        <v>238</v>
      </c>
      <c r="B39" s="104">
        <f>B37*1000000000/B2</f>
        <v>1.4527413274858625</v>
      </c>
    </row>
    <row r="40" spans="1:2" ht="12.75">
      <c r="A40" s="63"/>
      <c r="B40" s="63"/>
    </row>
    <row r="41" spans="1:2" ht="12.75">
      <c r="A41" s="63" t="s">
        <v>425</v>
      </c>
      <c r="B41" s="64">
        <f>B37*Rgrid!B82+Renew!B21+Rgrid!B81</f>
        <v>7574.173608575138</v>
      </c>
    </row>
    <row r="42" spans="1:3" ht="25.5">
      <c r="A42" s="79" t="s">
        <v>441</v>
      </c>
      <c r="B42" s="70">
        <f>B41*1.3</f>
        <v>9846.42569114768</v>
      </c>
      <c r="C42" s="5"/>
    </row>
    <row r="43" spans="1:3" ht="12.75">
      <c r="A43" s="63" t="s">
        <v>107</v>
      </c>
      <c r="B43" s="107">
        <f>B42*1000000000/B2</f>
        <v>2.422422527198225</v>
      </c>
      <c r="C43" s="5"/>
    </row>
  </sheetData>
  <hyperlinks>
    <hyperlink ref="C8" r:id="rId1" display="http://www.bpa.gov/Energy/N/projects/post2006conservation/doc/Windpower_Cost_Review.doc"/>
    <hyperlink ref="C10" r:id="rId2" display="http://www.awea.org/newsroom/releases/Wind_Power_Capacity_012307.html"/>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59"/>
  <sheetViews>
    <sheetView workbookViewId="0" topLeftCell="A1">
      <selection activeCell="B4" sqref="B4"/>
    </sheetView>
  </sheetViews>
  <sheetFormatPr defaultColWidth="9.140625" defaultRowHeight="12.75"/>
  <cols>
    <col min="1" max="1" width="38.57421875" style="0" customWidth="1"/>
    <col min="2" max="2" width="36.00390625" style="0" customWidth="1"/>
    <col min="3" max="3" width="28.421875" style="0" customWidth="1"/>
  </cols>
  <sheetData>
    <row r="1" ht="12.75">
      <c r="A1" t="s">
        <v>72</v>
      </c>
    </row>
    <row r="2" spans="1:2" ht="12.75">
      <c r="A2" s="63" t="s">
        <v>655</v>
      </c>
      <c r="B2" s="63" t="s">
        <v>665</v>
      </c>
    </row>
    <row r="3" spans="1:3" ht="15.75">
      <c r="A3" s="63" t="s">
        <v>656</v>
      </c>
      <c r="B3" s="63">
        <v>450</v>
      </c>
      <c r="C3" s="1" t="s">
        <v>67</v>
      </c>
    </row>
    <row r="4" spans="1:4" ht="15.75">
      <c r="A4" s="63"/>
      <c r="B4" s="63"/>
      <c r="C4" t="s">
        <v>663</v>
      </c>
      <c r="D4" s="1" t="s">
        <v>660</v>
      </c>
    </row>
    <row r="5" spans="1:4" ht="15.75">
      <c r="A5" s="63"/>
      <c r="B5" s="63"/>
      <c r="C5" t="s">
        <v>664</v>
      </c>
      <c r="D5" s="1" t="s">
        <v>661</v>
      </c>
    </row>
    <row r="6" spans="1:4" ht="15.75">
      <c r="A6" s="63" t="s">
        <v>234</v>
      </c>
      <c r="B6" s="63">
        <v>500</v>
      </c>
      <c r="C6" t="s">
        <v>672</v>
      </c>
      <c r="D6" s="1" t="s">
        <v>662</v>
      </c>
    </row>
    <row r="7" spans="1:3" ht="12.75">
      <c r="A7" s="63" t="s">
        <v>658</v>
      </c>
      <c r="B7" s="63">
        <v>100</v>
      </c>
      <c r="C7" t="s">
        <v>160</v>
      </c>
    </row>
    <row r="8" spans="1:3" ht="12.75">
      <c r="A8" s="63" t="s">
        <v>149</v>
      </c>
      <c r="B8" s="63">
        <v>35</v>
      </c>
      <c r="C8" t="s">
        <v>235</v>
      </c>
    </row>
    <row r="9" spans="1:3" ht="12.75">
      <c r="A9" s="63" t="s">
        <v>674</v>
      </c>
      <c r="B9" s="63"/>
      <c r="C9" t="s">
        <v>48</v>
      </c>
    </row>
    <row r="10" spans="1:3" ht="12.75">
      <c r="A10" s="63" t="s">
        <v>675</v>
      </c>
      <c r="B10" s="63">
        <v>100</v>
      </c>
      <c r="C10" t="s">
        <v>49</v>
      </c>
    </row>
    <row r="11" spans="1:3" ht="12.75">
      <c r="A11" s="63" t="s">
        <v>86</v>
      </c>
      <c r="B11" s="64">
        <v>2000</v>
      </c>
      <c r="C11" t="s">
        <v>83</v>
      </c>
    </row>
    <row r="12" spans="1:3" ht="12.75">
      <c r="A12" s="63"/>
      <c r="B12" s="64"/>
      <c r="C12" t="s">
        <v>84</v>
      </c>
    </row>
    <row r="13" spans="1:3" ht="12.75">
      <c r="A13" s="63" t="s">
        <v>666</v>
      </c>
      <c r="B13" s="64">
        <f>17/21*B11*0.8</f>
        <v>1295.2380952380954</v>
      </c>
      <c r="C13" t="s">
        <v>118</v>
      </c>
    </row>
    <row r="14" spans="1:4" ht="12.75">
      <c r="A14" s="63" t="s">
        <v>659</v>
      </c>
      <c r="B14" s="64">
        <v>2000</v>
      </c>
      <c r="C14" t="s">
        <v>119</v>
      </c>
      <c r="D14" t="s">
        <v>633</v>
      </c>
    </row>
    <row r="15" spans="1:2" ht="12.75">
      <c r="A15" s="63" t="s">
        <v>105</v>
      </c>
      <c r="B15" s="64"/>
    </row>
    <row r="16" spans="1:3" ht="12.75">
      <c r="A16" s="66" t="s">
        <v>103</v>
      </c>
      <c r="B16" s="103">
        <f>SUM(B3:B15)</f>
        <v>6480.238095238095</v>
      </c>
      <c r="C16" s="6" t="s">
        <v>50</v>
      </c>
    </row>
    <row r="17" spans="1:3" ht="12.75">
      <c r="A17" s="7"/>
      <c r="B17" s="8"/>
      <c r="C17" s="7"/>
    </row>
    <row r="20" spans="1:3" ht="12.75">
      <c r="A20" s="63" t="s">
        <v>85</v>
      </c>
      <c r="B20" s="63">
        <v>100</v>
      </c>
      <c r="C20" s="63" t="s">
        <v>88</v>
      </c>
    </row>
    <row r="21" spans="1:3" ht="12.75">
      <c r="A21" s="63" t="s">
        <v>87</v>
      </c>
      <c r="B21" s="63"/>
      <c r="C21" s="63"/>
    </row>
    <row r="22" spans="1:3" ht="12.75">
      <c r="A22" s="63" t="s">
        <v>89</v>
      </c>
      <c r="B22" s="63">
        <v>20</v>
      </c>
      <c r="C22" s="63" t="s">
        <v>88</v>
      </c>
    </row>
    <row r="23" spans="1:3" ht="12.75">
      <c r="A23" s="63" t="s">
        <v>90</v>
      </c>
      <c r="B23" s="63">
        <v>40</v>
      </c>
      <c r="C23" s="63" t="s">
        <v>88</v>
      </c>
    </row>
    <row r="24" spans="1:3" ht="12.75">
      <c r="A24" s="63" t="s">
        <v>91</v>
      </c>
      <c r="B24" s="63">
        <v>60</v>
      </c>
      <c r="C24" s="63" t="s">
        <v>88</v>
      </c>
    </row>
    <row r="26" spans="1:2" ht="12.75">
      <c r="A26" s="63" t="s">
        <v>96</v>
      </c>
      <c r="B26" s="63">
        <f>293000000000*B22</f>
        <v>5860000000000</v>
      </c>
    </row>
    <row r="27" spans="1:2" ht="12.75">
      <c r="A27" s="63" t="s">
        <v>97</v>
      </c>
      <c r="B27" s="63">
        <f>293000000000*B23</f>
        <v>11720000000000</v>
      </c>
    </row>
    <row r="28" spans="1:2" ht="12.75">
      <c r="A28" s="63" t="s">
        <v>98</v>
      </c>
      <c r="B28" s="63">
        <f>293000000000*B24</f>
        <v>17580000000000</v>
      </c>
    </row>
    <row r="32" ht="12.75">
      <c r="A32" t="s">
        <v>159</v>
      </c>
    </row>
    <row r="33" spans="1:2" ht="12.75">
      <c r="A33" s="63" t="s">
        <v>655</v>
      </c>
      <c r="B33" s="63" t="s">
        <v>665</v>
      </c>
    </row>
    <row r="34" spans="1:3" ht="15.75">
      <c r="A34" s="63" t="s">
        <v>656</v>
      </c>
      <c r="B34" s="63">
        <v>450</v>
      </c>
      <c r="C34" s="1" t="s">
        <v>67</v>
      </c>
    </row>
    <row r="35" spans="1:4" ht="15.75">
      <c r="A35" s="63"/>
      <c r="B35" s="63"/>
      <c r="C35" t="s">
        <v>663</v>
      </c>
      <c r="D35" s="1" t="s">
        <v>660</v>
      </c>
    </row>
    <row r="36" spans="1:4" ht="15.75">
      <c r="A36" s="63"/>
      <c r="B36" s="63"/>
      <c r="C36" t="s">
        <v>664</v>
      </c>
      <c r="D36" s="1" t="s">
        <v>661</v>
      </c>
    </row>
    <row r="37" spans="1:4" ht="15.75">
      <c r="A37" s="63" t="s">
        <v>444</v>
      </c>
      <c r="B37" s="63">
        <v>500</v>
      </c>
      <c r="C37" t="s">
        <v>672</v>
      </c>
      <c r="D37" s="1" t="s">
        <v>662</v>
      </c>
    </row>
    <row r="38" spans="1:3" ht="12.75">
      <c r="A38" s="63" t="s">
        <v>658</v>
      </c>
      <c r="B38" s="63">
        <v>100</v>
      </c>
      <c r="C38" t="s">
        <v>667</v>
      </c>
    </row>
    <row r="39" spans="1:2" ht="12.75">
      <c r="A39" s="63" t="s">
        <v>149</v>
      </c>
      <c r="B39" s="63">
        <v>50</v>
      </c>
    </row>
    <row r="40" spans="1:3" ht="12.75">
      <c r="A40" s="63" t="s">
        <v>674</v>
      </c>
      <c r="B40" s="63"/>
      <c r="C40" t="s">
        <v>48</v>
      </c>
    </row>
    <row r="41" spans="1:3" ht="12.75">
      <c r="A41" s="63" t="s">
        <v>675</v>
      </c>
      <c r="B41" s="63">
        <v>100</v>
      </c>
      <c r="C41" t="s">
        <v>49</v>
      </c>
    </row>
    <row r="42" spans="1:3" ht="12.75">
      <c r="A42" s="63" t="s">
        <v>120</v>
      </c>
      <c r="B42" s="64">
        <v>1200</v>
      </c>
      <c r="C42" t="s">
        <v>121</v>
      </c>
    </row>
    <row r="43" spans="1:3" ht="12.75">
      <c r="A43" s="63"/>
      <c r="B43" s="64"/>
      <c r="C43" t="s">
        <v>84</v>
      </c>
    </row>
    <row r="44" spans="1:2" ht="12.75">
      <c r="A44" s="63" t="s">
        <v>666</v>
      </c>
      <c r="B44" s="64">
        <v>1295</v>
      </c>
    </row>
    <row r="45" spans="1:4" ht="12.75">
      <c r="A45" s="63" t="s">
        <v>659</v>
      </c>
      <c r="B45" s="64">
        <v>900</v>
      </c>
      <c r="C45">
        <v>40</v>
      </c>
      <c r="D45" t="s">
        <v>633</v>
      </c>
    </row>
    <row r="46" spans="1:2" ht="12.75">
      <c r="A46" s="63" t="s">
        <v>105</v>
      </c>
      <c r="B46" s="64"/>
    </row>
    <row r="47" spans="1:3" ht="12.75">
      <c r="A47" s="66" t="s">
        <v>103</v>
      </c>
      <c r="B47" s="103">
        <f>SUM(B34:B46)</f>
        <v>4595</v>
      </c>
      <c r="C47" s="6" t="s">
        <v>50</v>
      </c>
    </row>
    <row r="48" spans="1:3" ht="12.75">
      <c r="A48" s="7"/>
      <c r="B48" s="8"/>
      <c r="C48" s="7"/>
    </row>
    <row r="51" spans="1:3" ht="12.75">
      <c r="A51" t="s">
        <v>85</v>
      </c>
      <c r="B51">
        <v>100</v>
      </c>
      <c r="C51" t="s">
        <v>88</v>
      </c>
    </row>
    <row r="52" ht="12.75">
      <c r="A52" t="s">
        <v>122</v>
      </c>
    </row>
    <row r="53" spans="1:3" ht="12.75">
      <c r="A53" s="63" t="s">
        <v>89</v>
      </c>
      <c r="B53" s="63">
        <v>40</v>
      </c>
      <c r="C53" s="63" t="s">
        <v>88</v>
      </c>
    </row>
    <row r="54" spans="1:3" ht="12.75">
      <c r="A54" s="63" t="s">
        <v>90</v>
      </c>
      <c r="B54" s="63">
        <v>55</v>
      </c>
      <c r="C54" s="63" t="s">
        <v>88</v>
      </c>
    </row>
    <row r="55" spans="1:3" ht="12.75">
      <c r="A55" s="63" t="s">
        <v>91</v>
      </c>
      <c r="B55" s="63">
        <v>70</v>
      </c>
      <c r="C55" s="63" t="s">
        <v>88</v>
      </c>
    </row>
    <row r="57" spans="1:2" ht="12.75">
      <c r="A57" s="63" t="s">
        <v>96</v>
      </c>
      <c r="B57" s="63">
        <f>293000000000*B53</f>
        <v>11720000000000</v>
      </c>
    </row>
    <row r="58" spans="1:2" ht="12.75">
      <c r="A58" s="63" t="s">
        <v>97</v>
      </c>
      <c r="B58" s="63">
        <f>293000000000*B54</f>
        <v>16115000000000</v>
      </c>
    </row>
    <row r="59" spans="1:2" ht="12.75">
      <c r="A59" s="63" t="s">
        <v>98</v>
      </c>
      <c r="B59" s="63">
        <f>293000000000*B55</f>
        <v>20510000000000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90"/>
  <sheetViews>
    <sheetView workbookViewId="0" topLeftCell="A1">
      <selection activeCell="B2" sqref="B2"/>
    </sheetView>
  </sheetViews>
  <sheetFormatPr defaultColWidth="9.140625" defaultRowHeight="12.75"/>
  <cols>
    <col min="1" max="1" width="62.421875" style="0" customWidth="1"/>
    <col min="2" max="2" width="17.421875" style="0" customWidth="1"/>
    <col min="3" max="3" width="95.28125" style="0" customWidth="1"/>
  </cols>
  <sheetData>
    <row r="1" ht="12.75">
      <c r="B1" t="s">
        <v>673</v>
      </c>
    </row>
    <row r="2" spans="1:3" ht="12.75">
      <c r="A2" s="63" t="s">
        <v>172</v>
      </c>
      <c r="B2" s="98">
        <f>Renew!B2</f>
        <v>4064702000000</v>
      </c>
      <c r="C2" t="s">
        <v>171</v>
      </c>
    </row>
    <row r="3" spans="1:2" ht="12.75">
      <c r="A3" s="63" t="s">
        <v>173</v>
      </c>
      <c r="B3" s="98">
        <f>Renew!B3</f>
        <v>293000000000</v>
      </c>
    </row>
    <row r="4" spans="1:2" ht="12.75">
      <c r="A4" s="63" t="s">
        <v>174</v>
      </c>
      <c r="B4" s="99">
        <f>Renew!B4</f>
        <v>13.872703071672355</v>
      </c>
    </row>
    <row r="6" ht="15.75">
      <c r="A6" s="13" t="s">
        <v>177</v>
      </c>
    </row>
    <row r="8" spans="1:3" ht="12.75">
      <c r="A8" s="63" t="s">
        <v>51</v>
      </c>
      <c r="B8" s="63"/>
      <c r="C8" s="100"/>
    </row>
    <row r="9" spans="1:3" ht="12.75">
      <c r="A9" s="63" t="s">
        <v>419</v>
      </c>
      <c r="B9" s="64">
        <v>900</v>
      </c>
      <c r="C9" t="s">
        <v>178</v>
      </c>
    </row>
    <row r="10" spans="1:3" ht="38.25">
      <c r="A10" s="79" t="s">
        <v>422</v>
      </c>
      <c r="B10" s="86">
        <v>0.35</v>
      </c>
      <c r="C10" s="100" t="s">
        <v>180</v>
      </c>
    </row>
    <row r="11" spans="1:3" ht="12.75">
      <c r="A11" s="63" t="s">
        <v>423</v>
      </c>
      <c r="B11" s="64">
        <f>365*24*0.28</f>
        <v>2452.8</v>
      </c>
      <c r="C11" t="s">
        <v>58</v>
      </c>
    </row>
    <row r="12" spans="1:3" ht="12.75">
      <c r="A12" s="63" t="s">
        <v>59</v>
      </c>
      <c r="B12" s="64">
        <f>B2/B11</f>
        <v>1657168134.3770385</v>
      </c>
      <c r="C12" t="s">
        <v>60</v>
      </c>
    </row>
    <row r="13" spans="1:3" ht="12.75">
      <c r="A13" s="63" t="s">
        <v>63</v>
      </c>
      <c r="B13" s="64">
        <f>B12*1.1</f>
        <v>1822884947.8147426</v>
      </c>
      <c r="C13" t="s">
        <v>60</v>
      </c>
    </row>
    <row r="14" spans="1:3" ht="12.75">
      <c r="A14" s="63" t="s">
        <v>64</v>
      </c>
      <c r="B14" s="64">
        <f>B13+0.2*B12</f>
        <v>2154318574.6901503</v>
      </c>
      <c r="C14" t="s">
        <v>60</v>
      </c>
    </row>
    <row r="15" spans="1:3" ht="12.75">
      <c r="A15" s="63" t="s">
        <v>61</v>
      </c>
      <c r="B15" s="64">
        <f>B14*B9/1000000000</f>
        <v>1938.8867172211353</v>
      </c>
      <c r="C15" t="s">
        <v>62</v>
      </c>
    </row>
    <row r="16" spans="1:3" ht="12.75">
      <c r="A16" s="63" t="s">
        <v>417</v>
      </c>
      <c r="B16" s="64">
        <f>B12*300*3/1000000000</f>
        <v>1491.4513209393347</v>
      </c>
      <c r="C16" t="s">
        <v>62</v>
      </c>
    </row>
    <row r="17" spans="1:3" ht="12.75">
      <c r="A17" s="63" t="s">
        <v>65</v>
      </c>
      <c r="B17" s="64">
        <v>300</v>
      </c>
      <c r="C17" t="s">
        <v>68</v>
      </c>
    </row>
    <row r="18" spans="1:3" ht="12.75">
      <c r="A18" s="63"/>
      <c r="B18" s="64"/>
      <c r="C18" t="s">
        <v>69</v>
      </c>
    </row>
    <row r="19" spans="1:3" ht="12.75">
      <c r="A19" s="63"/>
      <c r="B19" s="64"/>
      <c r="C19" t="s">
        <v>70</v>
      </c>
    </row>
    <row r="20" spans="1:3" ht="12.75">
      <c r="A20" s="63" t="s">
        <v>66</v>
      </c>
      <c r="B20" s="64">
        <f>(800*B14/2)/1000000000</f>
        <v>861.7274298760601</v>
      </c>
      <c r="C20" t="s">
        <v>62</v>
      </c>
    </row>
    <row r="21" spans="1:3" ht="12.75">
      <c r="A21" s="63" t="s">
        <v>671</v>
      </c>
      <c r="B21" s="64">
        <f>SUM(B15:B20)</f>
        <v>4592.065468036531</v>
      </c>
      <c r="C21" t="s">
        <v>62</v>
      </c>
    </row>
    <row r="22" spans="1:2" ht="12.75">
      <c r="A22" s="63" t="s">
        <v>114</v>
      </c>
      <c r="B22" s="101">
        <f>B21*1000000000/B12</f>
        <v>2771.031721390646</v>
      </c>
    </row>
    <row r="23" spans="1:2" ht="12.75">
      <c r="A23" s="63" t="s">
        <v>71</v>
      </c>
      <c r="B23" s="63"/>
    </row>
    <row r="24" spans="1:2" ht="12.75">
      <c r="A24" s="63"/>
      <c r="B24" s="63"/>
    </row>
    <row r="25" spans="1:2" ht="12.75">
      <c r="A25" s="63"/>
      <c r="B25" s="63"/>
    </row>
    <row r="26" spans="1:5" ht="12.75">
      <c r="A26" s="63" t="s">
        <v>73</v>
      </c>
      <c r="B26" s="63" t="s">
        <v>101</v>
      </c>
      <c r="C26" t="s">
        <v>74</v>
      </c>
      <c r="D26" t="s">
        <v>736</v>
      </c>
      <c r="E26" t="s">
        <v>737</v>
      </c>
    </row>
    <row r="27" spans="1:3" ht="12.75">
      <c r="A27" s="63" t="s">
        <v>181</v>
      </c>
      <c r="B27" s="64">
        <v>1694.5</v>
      </c>
      <c r="C27" t="s">
        <v>75</v>
      </c>
    </row>
    <row r="28" spans="1:2" ht="12.75">
      <c r="A28" s="63" t="s">
        <v>176</v>
      </c>
      <c r="B28" s="64">
        <f>365*24*0.4</f>
        <v>3504</v>
      </c>
    </row>
    <row r="29" spans="1:2" ht="12.75">
      <c r="A29" s="63" t="s">
        <v>79</v>
      </c>
      <c r="B29" s="64">
        <f>B2/B28</f>
        <v>1160017694.063927</v>
      </c>
    </row>
    <row r="30" spans="1:2" ht="12.75">
      <c r="A30" s="63" t="s">
        <v>76</v>
      </c>
      <c r="B30" s="64">
        <f>B29*1.1</f>
        <v>1276019463.4703197</v>
      </c>
    </row>
    <row r="31" spans="1:2" ht="12.75">
      <c r="A31" s="63" t="s">
        <v>77</v>
      </c>
      <c r="B31" s="64">
        <f>B30+B30*0.66666*0.07</f>
        <v>1335566442.9565184</v>
      </c>
    </row>
    <row r="32" spans="1:2" ht="12.75">
      <c r="A32" s="63" t="s">
        <v>127</v>
      </c>
      <c r="B32" s="64">
        <f>B31*B27/1000000000</f>
        <v>2263.11733758982</v>
      </c>
    </row>
    <row r="33" spans="1:2" ht="12.75">
      <c r="A33" s="63" t="s">
        <v>128</v>
      </c>
      <c r="B33" s="64">
        <f>B32*1.1</f>
        <v>2489.4290713488026</v>
      </c>
    </row>
    <row r="34" spans="1:2" ht="12.75">
      <c r="A34" s="63" t="s">
        <v>81</v>
      </c>
      <c r="B34" s="64">
        <v>300</v>
      </c>
    </row>
    <row r="35" spans="1:2" ht="12.75">
      <c r="A35" s="63" t="s">
        <v>182</v>
      </c>
      <c r="B35" s="64">
        <f>15*18*B30/10000000000</f>
        <v>34.45252551369863</v>
      </c>
    </row>
    <row r="36" spans="1:3" ht="12.75">
      <c r="A36" s="63" t="s">
        <v>66</v>
      </c>
      <c r="B36" s="64">
        <f>(800*B31/2)/1000000000</f>
        <v>534.2265771826073</v>
      </c>
      <c r="C36" t="s">
        <v>62</v>
      </c>
    </row>
    <row r="37" spans="1:2" ht="12.75">
      <c r="A37" s="63" t="s">
        <v>80</v>
      </c>
      <c r="B37" s="64">
        <f>SUM(B33:B36)</f>
        <v>3358.1081740451086</v>
      </c>
    </row>
    <row r="38" spans="1:2" ht="12.75">
      <c r="A38" s="63" t="s">
        <v>78</v>
      </c>
      <c r="B38" s="101">
        <f>B37*1000000000/B29</f>
        <v>2894.8766826827796</v>
      </c>
    </row>
    <row r="39" spans="1:2" ht="12.75">
      <c r="A39" s="63"/>
      <c r="B39" s="101"/>
    </row>
    <row r="40" spans="1:2" ht="12.75">
      <c r="A40" s="63"/>
      <c r="B40" s="63"/>
    </row>
    <row r="41" spans="1:2" ht="12.75">
      <c r="A41" s="63"/>
      <c r="B41" s="63"/>
    </row>
    <row r="42" spans="1:2" ht="12.75">
      <c r="A42" s="63" t="s">
        <v>426</v>
      </c>
      <c r="B42" s="64">
        <f>B21*Rgrid!B81+Renewtech!B37*Rgrid!B82</f>
        <v>4162.115191384467</v>
      </c>
    </row>
    <row r="43" spans="1:3" ht="12.75">
      <c r="A43" s="63" t="s">
        <v>442</v>
      </c>
      <c r="B43" s="64">
        <f>B42*1.3</f>
        <v>5410.749748799807</v>
      </c>
      <c r="C43" s="5"/>
    </row>
    <row r="44" spans="1:3" ht="12.75">
      <c r="A44" s="63" t="s">
        <v>183</v>
      </c>
      <c r="B44" s="102">
        <f>B43*1000000000/B2</f>
        <v>1.331155334093325</v>
      </c>
      <c r="C44" s="5"/>
    </row>
    <row r="45" ht="12.75">
      <c r="C45" s="9"/>
    </row>
    <row r="46" spans="2:3" ht="12.75">
      <c r="B46" s="2"/>
      <c r="C46" s="9"/>
    </row>
    <row r="47" ht="12.75">
      <c r="B47" s="2"/>
    </row>
    <row r="48" ht="12.75">
      <c r="B48" s="2"/>
    </row>
    <row r="49" ht="12.75">
      <c r="B49" s="2"/>
    </row>
    <row r="51" ht="12.75">
      <c r="B51" s="2"/>
    </row>
    <row r="52" ht="15.75">
      <c r="A52" s="13" t="s">
        <v>184</v>
      </c>
    </row>
    <row r="54" spans="1:3" ht="12.75">
      <c r="A54" s="63" t="s">
        <v>51</v>
      </c>
      <c r="B54" s="63"/>
      <c r="C54" s="100"/>
    </row>
    <row r="55" spans="1:3" ht="12.75">
      <c r="A55" s="63" t="s">
        <v>179</v>
      </c>
      <c r="B55" s="64">
        <v>1500</v>
      </c>
      <c r="C55" t="s">
        <v>185</v>
      </c>
    </row>
    <row r="56" spans="1:3" ht="12.75">
      <c r="A56" s="63" t="s">
        <v>55</v>
      </c>
      <c r="B56" s="86">
        <v>0.6</v>
      </c>
      <c r="C56" s="100" t="s">
        <v>186</v>
      </c>
    </row>
    <row r="57" spans="1:3" ht="12.75">
      <c r="A57" s="63" t="s">
        <v>418</v>
      </c>
      <c r="B57" s="64">
        <f>365*24*0.55</f>
        <v>4818</v>
      </c>
      <c r="C57" t="s">
        <v>58</v>
      </c>
    </row>
    <row r="58" spans="1:3" ht="12.75">
      <c r="A58" s="63" t="s">
        <v>59</v>
      </c>
      <c r="B58" s="64">
        <f>B2/B57</f>
        <v>843649232.0464923</v>
      </c>
      <c r="C58" t="s">
        <v>60</v>
      </c>
    </row>
    <row r="59" spans="1:3" ht="12.75">
      <c r="A59" s="63" t="s">
        <v>63</v>
      </c>
      <c r="B59" s="64">
        <f>B58*1.1</f>
        <v>928014155.2511417</v>
      </c>
      <c r="C59" t="s">
        <v>60</v>
      </c>
    </row>
    <row r="60" spans="1:3" ht="12.75">
      <c r="A60" s="63" t="s">
        <v>34</v>
      </c>
      <c r="B60" s="64">
        <f>B59+B58*0.1</f>
        <v>1012379078.4557909</v>
      </c>
      <c r="C60" t="s">
        <v>60</v>
      </c>
    </row>
    <row r="61" spans="1:3" ht="12.75">
      <c r="A61" s="63" t="s">
        <v>61</v>
      </c>
      <c r="B61" s="64">
        <f>B60*B55/1000000000</f>
        <v>1518.5686176836862</v>
      </c>
      <c r="C61" t="s">
        <v>62</v>
      </c>
    </row>
    <row r="62" spans="1:3" ht="12.75">
      <c r="A62" s="63" t="s">
        <v>33</v>
      </c>
      <c r="B62" s="64">
        <f>B58*250*2/1000000000</f>
        <v>421.82461602324616</v>
      </c>
      <c r="C62" t="s">
        <v>62</v>
      </c>
    </row>
    <row r="63" spans="1:3" ht="12.75">
      <c r="A63" s="63" t="s">
        <v>585</v>
      </c>
      <c r="B63" s="64">
        <v>450</v>
      </c>
      <c r="C63" t="s">
        <v>68</v>
      </c>
    </row>
    <row r="64" spans="1:3" ht="12.75">
      <c r="A64" s="63"/>
      <c r="B64" s="64"/>
      <c r="C64" t="s">
        <v>69</v>
      </c>
    </row>
    <row r="65" spans="1:3" ht="12.75">
      <c r="A65" s="63"/>
      <c r="B65" s="64"/>
      <c r="C65" t="s">
        <v>70</v>
      </c>
    </row>
    <row r="66" spans="1:3" ht="12.75">
      <c r="A66" s="63" t="s">
        <v>66</v>
      </c>
      <c r="B66" s="64" t="s">
        <v>318</v>
      </c>
      <c r="C66" t="s">
        <v>62</v>
      </c>
    </row>
    <row r="67" spans="1:3" ht="12.75">
      <c r="A67" s="63" t="s">
        <v>671</v>
      </c>
      <c r="B67" s="64">
        <f>SUM(B61:B66)</f>
        <v>2390.3932337069323</v>
      </c>
      <c r="C67" t="s">
        <v>62</v>
      </c>
    </row>
    <row r="68" spans="1:2" ht="12.75">
      <c r="A68" s="63" t="s">
        <v>114</v>
      </c>
      <c r="B68" s="101">
        <f>B67*1000000000/B58</f>
        <v>2833.3970362402947</v>
      </c>
    </row>
    <row r="69" spans="1:2" ht="12.75">
      <c r="A69" s="63" t="s">
        <v>71</v>
      </c>
      <c r="B69" s="63"/>
    </row>
    <row r="70" spans="1:2" ht="12.75">
      <c r="A70" s="63"/>
      <c r="B70" s="63"/>
    </row>
    <row r="71" spans="1:2" ht="12.75">
      <c r="A71" s="63"/>
      <c r="B71" s="63"/>
    </row>
    <row r="72" spans="1:3" ht="12.75">
      <c r="A72" s="63" t="s">
        <v>73</v>
      </c>
      <c r="B72" s="63" t="s">
        <v>101</v>
      </c>
      <c r="C72" t="s">
        <v>74</v>
      </c>
    </row>
    <row r="73" spans="1:3" ht="12.75">
      <c r="A73" s="63" t="s">
        <v>187</v>
      </c>
      <c r="B73" s="64">
        <v>600</v>
      </c>
      <c r="C73" t="s">
        <v>75</v>
      </c>
    </row>
    <row r="74" spans="1:2" ht="12.75">
      <c r="A74" s="63" t="s">
        <v>176</v>
      </c>
      <c r="B74" s="64">
        <f>365*24*0.4</f>
        <v>3504</v>
      </c>
    </row>
    <row r="75" spans="1:2" ht="12.75">
      <c r="A75" s="63" t="s">
        <v>79</v>
      </c>
      <c r="B75" s="64">
        <f>B2/B74</f>
        <v>1160017694.063927</v>
      </c>
    </row>
    <row r="76" spans="1:2" ht="12.75">
      <c r="A76" s="63" t="s">
        <v>76</v>
      </c>
      <c r="B76" s="64">
        <f>B75*1.1</f>
        <v>1276019463.4703197</v>
      </c>
    </row>
    <row r="77" spans="1:2" ht="12.75">
      <c r="A77" s="63" t="s">
        <v>77</v>
      </c>
      <c r="B77" s="64">
        <f>B76+B76*0.66666*0.07</f>
        <v>1335566442.9565184</v>
      </c>
    </row>
    <row r="78" spans="1:2" ht="12.75">
      <c r="A78" s="63" t="s">
        <v>127</v>
      </c>
      <c r="B78" s="64">
        <f>B77*B73/1000000000</f>
        <v>801.339865773911</v>
      </c>
    </row>
    <row r="79" spans="1:2" ht="12.75">
      <c r="A79" s="63" t="s">
        <v>128</v>
      </c>
      <c r="B79" s="64">
        <f>B78*1.1</f>
        <v>881.4738523513022</v>
      </c>
    </row>
    <row r="80" spans="1:2" ht="12.75">
      <c r="A80" s="63" t="s">
        <v>81</v>
      </c>
      <c r="B80" s="64">
        <v>300</v>
      </c>
    </row>
    <row r="81" spans="1:2" ht="12.75">
      <c r="A81" s="63" t="s">
        <v>188</v>
      </c>
      <c r="B81" s="64">
        <f>10*18*B76/10000000000</f>
        <v>22.968350342465754</v>
      </c>
    </row>
    <row r="82" spans="1:3" ht="12.75">
      <c r="A82" s="63" t="s">
        <v>66</v>
      </c>
      <c r="B82" s="64">
        <f>(800*B77/2)/1000000000</f>
        <v>534.2265771826073</v>
      </c>
      <c r="C82" t="s">
        <v>62</v>
      </c>
    </row>
    <row r="83" spans="1:2" ht="12.75">
      <c r="A83" s="63" t="s">
        <v>80</v>
      </c>
      <c r="B83" s="64">
        <f>SUM(B79:B82)</f>
        <v>1738.6687798763753</v>
      </c>
    </row>
    <row r="84" spans="1:2" ht="12.75">
      <c r="A84" s="63" t="s">
        <v>78</v>
      </c>
      <c r="B84" s="101">
        <f>B83*1000000000/B75</f>
        <v>1498.8295340437796</v>
      </c>
    </row>
    <row r="85" spans="1:2" ht="12.75">
      <c r="A85" s="63"/>
      <c r="B85" s="101"/>
    </row>
    <row r="86" spans="1:2" ht="12.75">
      <c r="A86" s="63"/>
      <c r="B86" s="63"/>
    </row>
    <row r="87" spans="1:2" ht="12.75">
      <c r="A87" s="63"/>
      <c r="B87" s="63"/>
    </row>
    <row r="88" spans="1:2" ht="12.75">
      <c r="A88" s="63" t="s">
        <v>427</v>
      </c>
      <c r="B88" s="64">
        <f>B67*Rgrid!B81+Renewtech!B83*Rgrid!B82</f>
        <v>2163.311542476773</v>
      </c>
    </row>
    <row r="89" spans="1:3" ht="12.75">
      <c r="A89" s="63" t="s">
        <v>443</v>
      </c>
      <c r="B89" s="64">
        <f>1.3*B88</f>
        <v>2812.305005219805</v>
      </c>
      <c r="C89" s="5"/>
    </row>
    <row r="90" spans="1:3" ht="12.75">
      <c r="A90" s="63" t="s">
        <v>183</v>
      </c>
      <c r="B90" s="102">
        <f>B89*1000000000/B2</f>
        <v>0.6918846708122282</v>
      </c>
      <c r="C90" s="5"/>
    </row>
  </sheetData>
  <hyperlinks>
    <hyperlink ref="C10" r:id="rId1" display="http://www.awea.org/newsroom/releases/Wind_Power_Capacity_012307.html"/>
    <hyperlink ref="C56" r:id="rId2" display="http://www.awea.org/newsroom/releases/Wind_Power_Capacity_012307.html"/>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dimension ref="B2:E129"/>
  <sheetViews>
    <sheetView workbookViewId="0" topLeftCell="B1">
      <selection activeCell="D14" sqref="D14"/>
    </sheetView>
  </sheetViews>
  <sheetFormatPr defaultColWidth="9.140625" defaultRowHeight="12.75"/>
  <cols>
    <col min="2" max="2" width="50.8515625" style="0" customWidth="1"/>
    <col min="3" max="3" width="17.421875" style="0" customWidth="1"/>
    <col min="4" max="4" width="95.28125" style="0" customWidth="1"/>
    <col min="5" max="5" width="68.00390625" style="0" customWidth="1"/>
  </cols>
  <sheetData>
    <row r="2" spans="2:4" ht="12.75">
      <c r="B2" s="124" t="s">
        <v>192</v>
      </c>
      <c r="C2" s="125"/>
      <c r="D2" s="125"/>
    </row>
    <row r="3" ht="12.75">
      <c r="B3" s="16"/>
    </row>
    <row r="4" spans="2:4" ht="12.75">
      <c r="B4" s="126" t="s">
        <v>99</v>
      </c>
      <c r="C4" s="126"/>
      <c r="D4" s="126"/>
    </row>
    <row r="5" ht="12.75">
      <c r="B5" s="16"/>
    </row>
    <row r="6" spans="2:3" ht="12.75">
      <c r="B6" s="63" t="s">
        <v>324</v>
      </c>
      <c r="C6" s="63" t="s">
        <v>100</v>
      </c>
    </row>
    <row r="7" spans="2:4" ht="12.75">
      <c r="B7" s="63" t="s">
        <v>106</v>
      </c>
      <c r="C7" s="64">
        <f>Efficiency!B16</f>
        <v>6895.238095238095</v>
      </c>
      <c r="D7" s="4"/>
    </row>
    <row r="8" spans="2:4" ht="12.75">
      <c r="B8" s="63" t="s">
        <v>96</v>
      </c>
      <c r="C8" s="63">
        <f>Efficiency!B26</f>
        <v>5860000000000</v>
      </c>
      <c r="D8" s="4"/>
    </row>
    <row r="9" spans="2:5" ht="12.75">
      <c r="B9" s="63" t="s">
        <v>97</v>
      </c>
      <c r="C9" s="63">
        <f>Efficiency!B27</f>
        <v>11720000000000</v>
      </c>
      <c r="D9" s="4"/>
      <c r="E9" s="109"/>
    </row>
    <row r="10" spans="2:5" ht="15.75">
      <c r="B10" s="63" t="s">
        <v>98</v>
      </c>
      <c r="C10" s="63">
        <f>Efficiency!B28</f>
        <v>17580000000000</v>
      </c>
      <c r="D10" s="10"/>
      <c r="E10" s="1"/>
    </row>
    <row r="11" spans="2:5" ht="15.75">
      <c r="B11" s="63" t="s">
        <v>189</v>
      </c>
      <c r="C11" s="106">
        <f>Renew!B43</f>
        <v>2.422422527198225</v>
      </c>
      <c r="E11" s="1"/>
    </row>
    <row r="13" ht="12.75">
      <c r="D13" s="9"/>
    </row>
    <row r="14" spans="2:4" ht="12.75">
      <c r="B14" s="63" t="s">
        <v>324</v>
      </c>
      <c r="C14" s="63"/>
      <c r="D14" s="9"/>
    </row>
    <row r="15" spans="2:3" ht="12.75">
      <c r="B15" s="63" t="s">
        <v>102</v>
      </c>
      <c r="C15" s="64">
        <f>C7</f>
        <v>6895.238095238095</v>
      </c>
    </row>
    <row r="16" spans="2:4" ht="12.75">
      <c r="B16" s="63" t="s">
        <v>104</v>
      </c>
      <c r="C16" s="64">
        <f>C8*C11/1000000000</f>
        <v>14195.3960093816</v>
      </c>
      <c r="D16" s="11"/>
    </row>
    <row r="17" spans="2:3" ht="12.75">
      <c r="B17" s="63" t="s">
        <v>103</v>
      </c>
      <c r="C17" s="111">
        <f>SUM(C15:C16)</f>
        <v>21090.634104619698</v>
      </c>
    </row>
    <row r="19" spans="2:3" ht="12.75">
      <c r="B19" s="63" t="s">
        <v>323</v>
      </c>
      <c r="C19" s="63"/>
    </row>
    <row r="20" spans="2:3" ht="12.75">
      <c r="B20" s="63" t="s">
        <v>102</v>
      </c>
      <c r="C20" s="64">
        <f>C15</f>
        <v>6895.238095238095</v>
      </c>
    </row>
    <row r="21" spans="2:3" ht="12.75">
      <c r="B21" s="63" t="s">
        <v>104</v>
      </c>
      <c r="C21" s="64">
        <f>C9*C11/1000000000</f>
        <v>28390.7920187632</v>
      </c>
    </row>
    <row r="22" spans="2:3" ht="12.75">
      <c r="B22" s="63" t="s">
        <v>103</v>
      </c>
      <c r="C22" s="111">
        <f>SUM(C20:C21)</f>
        <v>35286.030114001296</v>
      </c>
    </row>
    <row r="24" spans="2:3" ht="12.75">
      <c r="B24" s="63" t="s">
        <v>325</v>
      </c>
      <c r="C24" s="63"/>
    </row>
    <row r="25" spans="2:3" ht="12.75">
      <c r="B25" s="63" t="s">
        <v>102</v>
      </c>
      <c r="C25" s="64">
        <f>C20</f>
        <v>6895.238095238095</v>
      </c>
    </row>
    <row r="26" spans="2:3" ht="12.75">
      <c r="B26" s="63" t="s">
        <v>104</v>
      </c>
      <c r="C26" s="64">
        <f>C10*C11/1000000000</f>
        <v>42586.188028144796</v>
      </c>
    </row>
    <row r="27" spans="2:3" ht="12.75">
      <c r="B27" s="63" t="s">
        <v>103</v>
      </c>
      <c r="C27" s="111">
        <f>SUM(C25:C26)</f>
        <v>49481.42612338289</v>
      </c>
    </row>
    <row r="30" spans="2:4" ht="12.75">
      <c r="B30" s="126" t="s">
        <v>322</v>
      </c>
      <c r="C30" s="126"/>
      <c r="D30" s="126"/>
    </row>
    <row r="31" spans="2:3" ht="12.75">
      <c r="B31" s="63" t="str">
        <f>Efficiency!A63</f>
        <v>High response in kWh (low consumption)</v>
      </c>
      <c r="C31" s="63">
        <f>Efficiency!B63</f>
        <v>11720000000000</v>
      </c>
    </row>
    <row r="32" spans="2:3" ht="12.75">
      <c r="B32" s="63" t="str">
        <f>Efficiency!A64</f>
        <v>Medium Response (medium consumption)</v>
      </c>
      <c r="C32" s="63">
        <f>Efficiency!B64</f>
        <v>16115000000000</v>
      </c>
    </row>
    <row r="33" spans="2:3" ht="12.75">
      <c r="B33" s="63" t="str">
        <f>Efficiency!A65</f>
        <v>Low Response (high consumption)</v>
      </c>
      <c r="C33" s="63">
        <f>Efficiency!B65</f>
        <v>20510000000000</v>
      </c>
    </row>
    <row r="35" spans="2:3" ht="12.75">
      <c r="B35" s="63" t="s">
        <v>326</v>
      </c>
      <c r="C35" s="63"/>
    </row>
    <row r="36" spans="2:3" ht="12.75">
      <c r="B36" s="63" t="s">
        <v>102</v>
      </c>
      <c r="C36" s="64">
        <f>Efficiency!B53</f>
        <v>4945</v>
      </c>
    </row>
    <row r="37" spans="2:3" ht="12.75">
      <c r="B37" s="63" t="s">
        <v>104</v>
      </c>
      <c r="C37" s="64">
        <f>$C$11*C31/1000000000</f>
        <v>28390.7920187632</v>
      </c>
    </row>
    <row r="38" spans="2:3" ht="12.75">
      <c r="B38" s="63" t="s">
        <v>103</v>
      </c>
      <c r="C38" s="111">
        <f>SUM(C36:C37)</f>
        <v>33335.7920187632</v>
      </c>
    </row>
    <row r="40" spans="2:3" ht="12.75">
      <c r="B40" s="63" t="s">
        <v>327</v>
      </c>
      <c r="C40" s="63"/>
    </row>
    <row r="41" spans="2:3" ht="12.75">
      <c r="B41" s="63" t="s">
        <v>102</v>
      </c>
      <c r="C41" s="64">
        <f>C36</f>
        <v>4945</v>
      </c>
    </row>
    <row r="42" spans="2:3" ht="12.75">
      <c r="B42" s="63" t="s">
        <v>104</v>
      </c>
      <c r="C42" s="64">
        <f>$C$11*C32/1000000000</f>
        <v>39037.339025799396</v>
      </c>
    </row>
    <row r="43" spans="2:3" ht="12.75">
      <c r="B43" s="63" t="s">
        <v>103</v>
      </c>
      <c r="C43" s="111">
        <f>SUM(C41:C42)</f>
        <v>43982.339025799396</v>
      </c>
    </row>
    <row r="45" spans="2:3" ht="12.75">
      <c r="B45" s="63" t="s">
        <v>328</v>
      </c>
      <c r="C45" s="63"/>
    </row>
    <row r="46" spans="2:3" ht="12.75">
      <c r="B46" s="63" t="s">
        <v>102</v>
      </c>
      <c r="C46" s="64">
        <f>C41</f>
        <v>4945</v>
      </c>
    </row>
    <row r="47" spans="2:3" ht="12.75">
      <c r="B47" s="63" t="s">
        <v>104</v>
      </c>
      <c r="C47" s="64">
        <f>$C$11*C33/1000000000</f>
        <v>49683.8860328356</v>
      </c>
    </row>
    <row r="48" spans="2:3" ht="12.75">
      <c r="B48" s="63" t="s">
        <v>103</v>
      </c>
      <c r="C48" s="111">
        <f>SUM(C46:C47)</f>
        <v>54628.8860328356</v>
      </c>
    </row>
    <row r="50" spans="2:4" ht="12.75">
      <c r="B50" s="124" t="s">
        <v>193</v>
      </c>
      <c r="C50" s="125"/>
      <c r="D50" s="125"/>
    </row>
    <row r="51" spans="2:3" ht="12.75">
      <c r="B51" s="16"/>
      <c r="C51" s="16"/>
    </row>
    <row r="52" spans="2:3" ht="12.75">
      <c r="B52" s="68" t="s">
        <v>194</v>
      </c>
      <c r="C52" s="101">
        <f>Renewtech!B44</f>
        <v>1.331155334093325</v>
      </c>
    </row>
    <row r="53" ht="12.75">
      <c r="B53" s="16"/>
    </row>
    <row r="54" spans="2:4" ht="12.75">
      <c r="B54" s="126" t="s">
        <v>99</v>
      </c>
      <c r="C54" s="126"/>
      <c r="D54" s="126"/>
    </row>
    <row r="55" ht="12.75">
      <c r="B55" s="16"/>
    </row>
    <row r="56" ht="12.75">
      <c r="B56" s="63" t="s">
        <v>324</v>
      </c>
    </row>
    <row r="57" spans="2:3" ht="12.75">
      <c r="B57" s="63" t="s">
        <v>102</v>
      </c>
      <c r="C57" s="64">
        <f>Efftech!B16</f>
        <v>6480.238095238095</v>
      </c>
    </row>
    <row r="58" spans="2:3" ht="12.75">
      <c r="B58" s="63" t="s">
        <v>329</v>
      </c>
      <c r="C58" s="64">
        <f>C8*C52/1000000000</f>
        <v>7800.570257786885</v>
      </c>
    </row>
    <row r="59" spans="2:3" ht="12.75">
      <c r="B59" s="68" t="s">
        <v>103</v>
      </c>
      <c r="C59" s="111">
        <f>SUM(C57:C58)</f>
        <v>14280.80835302498</v>
      </c>
    </row>
    <row r="61" ht="12.75">
      <c r="B61" s="63" t="s">
        <v>323</v>
      </c>
    </row>
    <row r="62" spans="2:3" ht="12.75">
      <c r="B62" s="63" t="s">
        <v>102</v>
      </c>
      <c r="C62" s="2">
        <f>C57</f>
        <v>6480.238095238095</v>
      </c>
    </row>
    <row r="63" spans="2:3" ht="12.75">
      <c r="B63" s="63" t="s">
        <v>329</v>
      </c>
      <c r="C63" s="2">
        <f>C52*C9/1000000000</f>
        <v>15601.14051557377</v>
      </c>
    </row>
    <row r="64" spans="2:3" ht="12.75">
      <c r="B64" s="16" t="s">
        <v>103</v>
      </c>
      <c r="C64" s="75">
        <f>SUM(C62:C63)</f>
        <v>22081.378610811866</v>
      </c>
    </row>
    <row r="65" spans="2:3" ht="12.75">
      <c r="B65" s="16"/>
      <c r="C65" s="2"/>
    </row>
    <row r="66" ht="12.75">
      <c r="B66" s="110" t="s">
        <v>325</v>
      </c>
    </row>
    <row r="67" spans="2:3" ht="12.75">
      <c r="B67" s="63" t="s">
        <v>102</v>
      </c>
      <c r="C67" s="64">
        <f>C62</f>
        <v>6480.238095238095</v>
      </c>
    </row>
    <row r="68" spans="2:3" ht="12.75">
      <c r="B68" s="63" t="s">
        <v>329</v>
      </c>
      <c r="C68" s="64">
        <f>C52*C10/1000000000</f>
        <v>23401.710773360657</v>
      </c>
    </row>
    <row r="69" spans="2:3" ht="12.75">
      <c r="B69" s="16" t="s">
        <v>103</v>
      </c>
      <c r="C69" s="75">
        <f>SUM(C67:C68)</f>
        <v>29881.948868598753</v>
      </c>
    </row>
    <row r="71" spans="2:4" ht="12.75">
      <c r="B71" s="126" t="s">
        <v>322</v>
      </c>
      <c r="C71" s="126"/>
      <c r="D71" s="126"/>
    </row>
    <row r="73" spans="2:3" ht="12.75">
      <c r="B73" s="63" t="s">
        <v>195</v>
      </c>
      <c r="C73" s="64">
        <f>Efftech!B47</f>
        <v>4595</v>
      </c>
    </row>
    <row r="74" spans="2:3" ht="12.75">
      <c r="B74" s="63" t="s">
        <v>196</v>
      </c>
      <c r="C74" s="101"/>
    </row>
    <row r="75" spans="2:3" ht="12.75">
      <c r="B75" s="63" t="str">
        <f>Efftech!A57</f>
        <v>High response in kWh (low consumption)</v>
      </c>
      <c r="C75" s="63">
        <f>Efftech!B57</f>
        <v>11720000000000</v>
      </c>
    </row>
    <row r="76" spans="2:3" ht="12.75">
      <c r="B76" s="63" t="str">
        <f>Efftech!A58</f>
        <v>Medium Response (medium consumption)</v>
      </c>
      <c r="C76" s="63">
        <f>Efftech!B58</f>
        <v>16115000000000</v>
      </c>
    </row>
    <row r="77" spans="2:3" ht="12.75">
      <c r="B77" s="63" t="str">
        <f>Efftech!A59</f>
        <v>Low Response (high consumption)</v>
      </c>
      <c r="C77" s="63">
        <f>Efftech!B59</f>
        <v>20510000000000</v>
      </c>
    </row>
    <row r="79" ht="12.75">
      <c r="B79" s="110" t="s">
        <v>326</v>
      </c>
    </row>
    <row r="80" spans="2:3" ht="12.75">
      <c r="B80" s="63" t="s">
        <v>102</v>
      </c>
      <c r="C80" s="64">
        <f>C73</f>
        <v>4595</v>
      </c>
    </row>
    <row r="81" spans="2:3" ht="12.75">
      <c r="B81" s="63" t="s">
        <v>104</v>
      </c>
      <c r="C81" s="64">
        <f>$C$52*C75/1000000000</f>
        <v>15601.14051557377</v>
      </c>
    </row>
    <row r="82" spans="2:3" ht="12.75">
      <c r="B82" s="63" t="s">
        <v>103</v>
      </c>
      <c r="C82" s="111">
        <f>SUM(C80:C81)</f>
        <v>20196.14051557377</v>
      </c>
    </row>
    <row r="84" ht="12.75">
      <c r="B84" s="110" t="s">
        <v>327</v>
      </c>
    </row>
    <row r="85" spans="2:3" ht="12.75">
      <c r="B85" s="63" t="s">
        <v>102</v>
      </c>
      <c r="C85" s="64">
        <f>C80</f>
        <v>4595</v>
      </c>
    </row>
    <row r="86" spans="2:3" ht="12.75">
      <c r="B86" s="63" t="s">
        <v>104</v>
      </c>
      <c r="C86" s="64">
        <f>$C$52*C76/1000000000</f>
        <v>21451.568208913934</v>
      </c>
    </row>
    <row r="87" spans="2:3" ht="12.75">
      <c r="B87" s="63" t="s">
        <v>103</v>
      </c>
      <c r="C87" s="111">
        <f>SUM(C85:C86)</f>
        <v>26046.568208913934</v>
      </c>
    </row>
    <row r="88" ht="12.75">
      <c r="E88" s="61"/>
    </row>
    <row r="89" spans="2:5" ht="12.75">
      <c r="B89" s="110" t="s">
        <v>328</v>
      </c>
      <c r="E89" s="61"/>
    </row>
    <row r="90" spans="2:5" ht="12.75">
      <c r="B90" s="63" t="s">
        <v>102</v>
      </c>
      <c r="C90" s="64">
        <f>C85</f>
        <v>4595</v>
      </c>
      <c r="E90" s="61"/>
    </row>
    <row r="91" spans="2:5" ht="12.75">
      <c r="B91" s="63" t="s">
        <v>104</v>
      </c>
      <c r="C91" s="64">
        <f>$C$52*C77/1000000000</f>
        <v>27301.995902254097</v>
      </c>
      <c r="E91" s="61"/>
    </row>
    <row r="92" spans="2:3" ht="12.75">
      <c r="B92" s="63" t="s">
        <v>103</v>
      </c>
      <c r="C92" s="111">
        <f>SUM(C90:C91)</f>
        <v>31896.995902254097</v>
      </c>
    </row>
    <row r="95" spans="2:4" ht="12.75">
      <c r="B95" s="124" t="s">
        <v>330</v>
      </c>
      <c r="C95" s="125"/>
      <c r="D95" s="125"/>
    </row>
    <row r="97" spans="2:4" ht="12.75">
      <c r="B97" s="126" t="s">
        <v>99</v>
      </c>
      <c r="C97" s="126"/>
      <c r="D97" s="126"/>
    </row>
    <row r="99" ht="12.75">
      <c r="B99" s="110" t="s">
        <v>324</v>
      </c>
    </row>
    <row r="100" spans="2:3" ht="12.75">
      <c r="B100" s="63" t="s">
        <v>102</v>
      </c>
      <c r="C100" s="64">
        <f>$C$57</f>
        <v>6480.238095238095</v>
      </c>
    </row>
    <row r="101" spans="2:3" ht="12.75">
      <c r="B101" s="63" t="s">
        <v>104</v>
      </c>
      <c r="C101" s="64">
        <f>Efftech!B26*Renewtech!$B$90/1000000000</f>
        <v>4054.4441709596567</v>
      </c>
    </row>
    <row r="102" spans="2:3" ht="12.75">
      <c r="B102" s="63" t="s">
        <v>103</v>
      </c>
      <c r="C102" s="111">
        <f>SUM(C100:C101)</f>
        <v>10534.682266197753</v>
      </c>
    </row>
    <row r="104" ht="12.75">
      <c r="B104" s="110" t="s">
        <v>323</v>
      </c>
    </row>
    <row r="105" spans="2:3" ht="12.75">
      <c r="B105" s="63" t="s">
        <v>102</v>
      </c>
      <c r="C105" s="64">
        <f>$C$57</f>
        <v>6480.238095238095</v>
      </c>
    </row>
    <row r="106" spans="2:3" ht="12.75">
      <c r="B106" s="63" t="s">
        <v>104</v>
      </c>
      <c r="C106" s="64">
        <f>Efftech!B27*Renewtech!B90/1000000000</f>
        <v>8108.8883419193135</v>
      </c>
    </row>
    <row r="107" spans="2:3" ht="12.75">
      <c r="B107" s="63" t="s">
        <v>103</v>
      </c>
      <c r="C107" s="111">
        <f>SUM(C105:C106)</f>
        <v>14589.126437157409</v>
      </c>
    </row>
    <row r="108" ht="12.75">
      <c r="C108" s="2"/>
    </row>
    <row r="109" ht="12.75">
      <c r="B109" s="110" t="s">
        <v>325</v>
      </c>
    </row>
    <row r="110" spans="2:3" ht="12.75">
      <c r="B110" s="63" t="s">
        <v>102</v>
      </c>
      <c r="C110" s="64">
        <f>$C$57</f>
        <v>6480.238095238095</v>
      </c>
    </row>
    <row r="111" spans="2:3" ht="12.75">
      <c r="B111" s="63" t="s">
        <v>104</v>
      </c>
      <c r="C111" s="70">
        <f>Efftech!B28*Renewtech!B90/1000000000</f>
        <v>12163.332512878971</v>
      </c>
    </row>
    <row r="112" spans="2:3" ht="12.75">
      <c r="B112" s="63" t="s">
        <v>103</v>
      </c>
      <c r="C112" s="111">
        <f>SUM(C110:C111)</f>
        <v>18643.570608117065</v>
      </c>
    </row>
    <row r="114" spans="2:4" ht="12.75">
      <c r="B114" s="126" t="s">
        <v>322</v>
      </c>
      <c r="C114" s="126"/>
      <c r="D114" s="126"/>
    </row>
    <row r="116" ht="12.75">
      <c r="B116" s="110" t="s">
        <v>326</v>
      </c>
    </row>
    <row r="117" spans="2:3" ht="12.75">
      <c r="B117" s="63" t="s">
        <v>102</v>
      </c>
      <c r="C117" s="64">
        <f>$C$80</f>
        <v>4595</v>
      </c>
    </row>
    <row r="118" spans="2:3" ht="12.75">
      <c r="B118" s="63" t="s">
        <v>104</v>
      </c>
      <c r="C118" s="64">
        <f>Efftech!B57*Renewtech!B90/1000000000</f>
        <v>8108.8883419193135</v>
      </c>
    </row>
    <row r="119" spans="2:3" ht="12.75">
      <c r="B119" s="63" t="s">
        <v>103</v>
      </c>
      <c r="C119" s="112">
        <f>SUM(C117:C118)</f>
        <v>12703.888341919313</v>
      </c>
    </row>
    <row r="120" ht="12.75">
      <c r="C120" s="17"/>
    </row>
    <row r="121" ht="12.75">
      <c r="B121" s="110" t="s">
        <v>327</v>
      </c>
    </row>
    <row r="122" spans="2:3" ht="12.75">
      <c r="B122" s="63" t="s">
        <v>102</v>
      </c>
      <c r="C122" s="64">
        <f>$C$80</f>
        <v>4595</v>
      </c>
    </row>
    <row r="123" spans="2:3" ht="12.75">
      <c r="B123" s="63" t="s">
        <v>104</v>
      </c>
      <c r="C123" s="70">
        <f>Efftech!B58*Renewtech!B90/1000000000</f>
        <v>11149.721470139057</v>
      </c>
    </row>
    <row r="124" spans="2:3" ht="12.75">
      <c r="B124" s="63" t="s">
        <v>103</v>
      </c>
      <c r="C124" s="111">
        <f>SUM(C122:C123)</f>
        <v>15744.721470139057</v>
      </c>
    </row>
    <row r="125" ht="12.75">
      <c r="C125" s="2"/>
    </row>
    <row r="126" ht="12.75">
      <c r="B126" s="110" t="s">
        <v>328</v>
      </c>
    </row>
    <row r="127" spans="2:3" ht="12.75">
      <c r="B127" s="63" t="s">
        <v>102</v>
      </c>
      <c r="C127" s="64">
        <f>$C$80</f>
        <v>4595</v>
      </c>
    </row>
    <row r="128" spans="2:3" ht="12.75">
      <c r="B128" s="63" t="s">
        <v>104</v>
      </c>
      <c r="C128" s="70">
        <f>SUM(Efftech!B59*Renewtech!B90/1000000000)</f>
        <v>14190.554598358798</v>
      </c>
    </row>
    <row r="129" spans="2:3" ht="12.75">
      <c r="B129" s="63" t="s">
        <v>103</v>
      </c>
      <c r="C129" s="111">
        <f>SUM(C127:C128)</f>
        <v>18785.554598358798</v>
      </c>
    </row>
  </sheetData>
  <mergeCells count="9">
    <mergeCell ref="B114:D114"/>
    <mergeCell ref="B54:D54"/>
    <mergeCell ref="B71:D71"/>
    <mergeCell ref="B95:D95"/>
    <mergeCell ref="B97:D97"/>
    <mergeCell ref="B2:D2"/>
    <mergeCell ref="B4:D4"/>
    <mergeCell ref="B30:D30"/>
    <mergeCell ref="B50:D5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37"/>
  <sheetViews>
    <sheetView workbookViewId="0" topLeftCell="A11">
      <selection activeCell="A44" sqref="A44"/>
    </sheetView>
  </sheetViews>
  <sheetFormatPr defaultColWidth="9.140625" defaultRowHeight="12.75"/>
  <cols>
    <col min="1" max="1" width="24.00390625" style="0" customWidth="1"/>
    <col min="2" max="2" width="13.00390625" style="0" customWidth="1"/>
    <col min="3" max="5" width="20.7109375" style="0" customWidth="1"/>
    <col min="6" max="6" width="13.421875" style="0" bestFit="1" customWidth="1"/>
    <col min="7" max="7" width="14.421875" style="0" customWidth="1"/>
    <col min="8" max="8" width="15.8515625" style="0" bestFit="1" customWidth="1"/>
    <col min="9" max="9" width="13.8515625" style="0" bestFit="1" customWidth="1"/>
    <col min="10" max="10" width="14.28125" style="0" customWidth="1"/>
    <col min="11" max="11" width="14.140625" style="0" customWidth="1"/>
    <col min="12" max="12" width="11.8515625" style="0" customWidth="1"/>
    <col min="13" max="13" width="10.7109375" style="0" customWidth="1"/>
  </cols>
  <sheetData>
    <row r="1" spans="1:4" ht="12.75">
      <c r="A1">
        <f>293000000000*100</f>
        <v>29300000000000</v>
      </c>
      <c r="B1" t="s">
        <v>125</v>
      </c>
      <c r="C1" t="s">
        <v>430</v>
      </c>
      <c r="D1" s="11">
        <f>0.01*$A$1/1000000000</f>
        <v>293</v>
      </c>
    </row>
    <row r="3" ht="12.75">
      <c r="A3" s="16" t="s">
        <v>190</v>
      </c>
    </row>
    <row r="4" spans="3:9" ht="12.75">
      <c r="C4" t="s">
        <v>126</v>
      </c>
      <c r="D4" t="s">
        <v>433</v>
      </c>
      <c r="E4" t="s">
        <v>432</v>
      </c>
      <c r="G4" t="s">
        <v>116</v>
      </c>
      <c r="H4" t="s">
        <v>433</v>
      </c>
      <c r="I4" t="s">
        <v>429</v>
      </c>
    </row>
    <row r="5" spans="3:8" ht="12.75">
      <c r="C5" t="s">
        <v>117</v>
      </c>
      <c r="D5" t="s">
        <v>434</v>
      </c>
      <c r="G5" t="s">
        <v>431</v>
      </c>
      <c r="H5" t="s">
        <v>434</v>
      </c>
    </row>
    <row r="6" spans="1:7" ht="12.75">
      <c r="A6" t="s">
        <v>112</v>
      </c>
      <c r="B6" t="s">
        <v>113</v>
      </c>
      <c r="C6" t="s">
        <v>115</v>
      </c>
      <c r="G6" t="s">
        <v>115</v>
      </c>
    </row>
    <row r="7" spans="1:11" ht="12.75">
      <c r="A7" t="s">
        <v>110</v>
      </c>
      <c r="B7" s="2">
        <f>costs!$C$17</f>
        <v>21090.634104619698</v>
      </c>
      <c r="C7" s="11">
        <f aca="true" t="shared" si="0" ref="C7:C12">PMT(0.05,30,B7)</f>
        <v>-1371.9760152585357</v>
      </c>
      <c r="D7" s="9">
        <f aca="true" t="shared" si="1" ref="D7:D12">-C7+$D$1</f>
        <v>1664.9760152585357</v>
      </c>
      <c r="E7" s="9">
        <f>D7-PayBacks!$C$11</f>
        <v>-656.1915369381188</v>
      </c>
      <c r="F7" s="9"/>
      <c r="G7" s="11">
        <f aca="true" t="shared" si="2" ref="G7:G12">PMT(0.05,20,B7)</f>
        <v>-1692.367046046914</v>
      </c>
      <c r="H7" s="9">
        <f aca="true" t="shared" si="3" ref="H7:H12">-G7+$D$1</f>
        <v>1985.367046046914</v>
      </c>
      <c r="I7" s="9">
        <f>H7-PayBacks!$C$11</f>
        <v>-335.8005061497404</v>
      </c>
      <c r="J7" s="9"/>
      <c r="K7" s="11"/>
    </row>
    <row r="8" spans="1:10" ht="12.75">
      <c r="A8" t="s">
        <v>124</v>
      </c>
      <c r="B8" s="2">
        <f>costs!$C$38</f>
        <v>33335.7920187632</v>
      </c>
      <c r="C8" s="11">
        <f t="shared" si="0"/>
        <v>-2168.5411103581764</v>
      </c>
      <c r="D8" s="9">
        <f t="shared" si="1"/>
        <v>2461.5411103581764</v>
      </c>
      <c r="E8" s="9">
        <f>D8-PayBacks!$C$11</f>
        <v>140.37355816152194</v>
      </c>
      <c r="F8" s="9"/>
      <c r="G8" s="11">
        <f t="shared" si="2"/>
        <v>-2674.950197636358</v>
      </c>
      <c r="H8" s="9">
        <f t="shared" si="3"/>
        <v>2967.950197636358</v>
      </c>
      <c r="I8" s="9">
        <f>H8-PayBacks!$C$11</f>
        <v>646.7826454397036</v>
      </c>
      <c r="J8" s="9"/>
    </row>
    <row r="9" spans="1:10" ht="12.75">
      <c r="A9" t="s">
        <v>108</v>
      </c>
      <c r="B9" s="2">
        <f>costs!$C$22</f>
        <v>35286.030114001296</v>
      </c>
      <c r="C9" s="11">
        <f t="shared" si="0"/>
        <v>-2295.40689720164</v>
      </c>
      <c r="D9" s="9">
        <f t="shared" si="1"/>
        <v>2588.40689720164</v>
      </c>
      <c r="E9" s="9">
        <f>D9-PayBacks!$C$11</f>
        <v>267.23934500498535</v>
      </c>
      <c r="F9" s="9"/>
      <c r="G9" s="11">
        <f t="shared" si="2"/>
        <v>-2831.442348036109</v>
      </c>
      <c r="H9" s="9">
        <f t="shared" si="3"/>
        <v>3124.442348036109</v>
      </c>
      <c r="I9" s="9">
        <f>H9-PayBacks!$C$11</f>
        <v>803.2747958394543</v>
      </c>
      <c r="J9" s="9"/>
    </row>
    <row r="10" spans="1:10" ht="12.75">
      <c r="A10" t="s">
        <v>123</v>
      </c>
      <c r="B10" s="2">
        <f>costs!$C$43</f>
        <v>43982.339025799396</v>
      </c>
      <c r="C10" s="11">
        <f t="shared" si="0"/>
        <v>-2861.1142718155047</v>
      </c>
      <c r="D10" s="9">
        <f t="shared" si="1"/>
        <v>3154.1142718155047</v>
      </c>
      <c r="E10" s="9">
        <f>D10-PayBacks!$C$11</f>
        <v>832.9467196188502</v>
      </c>
      <c r="F10" s="9"/>
      <c r="G10" s="11">
        <f t="shared" si="2"/>
        <v>-3529.2566741282535</v>
      </c>
      <c r="H10" s="9">
        <f t="shared" si="3"/>
        <v>3822.2566741282535</v>
      </c>
      <c r="I10" s="9">
        <f>H10-PayBacks!$C$11</f>
        <v>1501.089121931599</v>
      </c>
      <c r="J10" s="9"/>
    </row>
    <row r="11" spans="1:10" ht="12.75">
      <c r="A11" t="s">
        <v>109</v>
      </c>
      <c r="B11" s="2">
        <f>costs!$C$27</f>
        <v>49481.42612338289</v>
      </c>
      <c r="C11" s="11">
        <f t="shared" si="0"/>
        <v>-3218.8377791447438</v>
      </c>
      <c r="D11" s="9">
        <f t="shared" si="1"/>
        <v>3511.8377791447438</v>
      </c>
      <c r="E11" s="9">
        <f>D11-PayBacks!$C$11</f>
        <v>1190.6702269480893</v>
      </c>
      <c r="F11" s="9"/>
      <c r="G11" s="11">
        <f t="shared" si="2"/>
        <v>-3970.5176500253024</v>
      </c>
      <c r="H11" s="9">
        <f t="shared" si="3"/>
        <v>4263.517650025302</v>
      </c>
      <c r="I11" s="9">
        <f>H11-PayBacks!$C$11</f>
        <v>1942.3500978286474</v>
      </c>
      <c r="J11" s="9"/>
    </row>
    <row r="12" spans="1:9" ht="12.75">
      <c r="A12" t="s">
        <v>111</v>
      </c>
      <c r="B12" s="2">
        <f>costs!$C$48</f>
        <v>54628.8860328356</v>
      </c>
      <c r="C12" s="11">
        <f t="shared" si="0"/>
        <v>-3553.6874332728335</v>
      </c>
      <c r="D12" s="9">
        <f t="shared" si="1"/>
        <v>3846.6874332728335</v>
      </c>
      <c r="E12" s="9">
        <f>D12-PayBacks!$C$11</f>
        <v>1525.519881076179</v>
      </c>
      <c r="F12" s="9"/>
      <c r="G12" s="11">
        <f t="shared" si="2"/>
        <v>-4383.56315062015</v>
      </c>
      <c r="H12" s="9">
        <f t="shared" si="3"/>
        <v>4676.56315062015</v>
      </c>
      <c r="I12" s="9">
        <f>H12-PayBacks!$C$11</f>
        <v>2355.3955984234954</v>
      </c>
    </row>
    <row r="13" ht="12.75">
      <c r="D13" s="12"/>
    </row>
    <row r="14" spans="1:4" ht="12.75">
      <c r="A14" s="16" t="s">
        <v>191</v>
      </c>
      <c r="D14" s="12"/>
    </row>
    <row r="15" spans="3:9" ht="12.75">
      <c r="C15" t="s">
        <v>126</v>
      </c>
      <c r="D15" t="s">
        <v>433</v>
      </c>
      <c r="E15" t="s">
        <v>432</v>
      </c>
      <c r="G15" t="s">
        <v>116</v>
      </c>
      <c r="H15" t="s">
        <v>433</v>
      </c>
      <c r="I15" t="s">
        <v>429</v>
      </c>
    </row>
    <row r="16" spans="3:8" ht="12.75">
      <c r="C16" t="s">
        <v>117</v>
      </c>
      <c r="D16" t="s">
        <v>434</v>
      </c>
      <c r="G16" t="s">
        <v>431</v>
      </c>
      <c r="H16" t="s">
        <v>434</v>
      </c>
    </row>
    <row r="17" spans="1:7" ht="12.75">
      <c r="A17" t="s">
        <v>112</v>
      </c>
      <c r="B17" t="s">
        <v>113</v>
      </c>
      <c r="C17" t="s">
        <v>115</v>
      </c>
      <c r="G17" t="s">
        <v>115</v>
      </c>
    </row>
    <row r="18" spans="1:9" ht="12.75">
      <c r="A18" t="s">
        <v>110</v>
      </c>
      <c r="B18" s="2">
        <f>costs!$C$59</f>
        <v>14280.80835302498</v>
      </c>
      <c r="C18" s="11">
        <f aca="true" t="shared" si="4" ref="C18:C23">PMT(0.05,30,B18)</f>
        <v>-928.9870774706761</v>
      </c>
      <c r="D18" s="9">
        <f aca="true" t="shared" si="5" ref="D18:D23">-C18+$D$1</f>
        <v>1221.987077470676</v>
      </c>
      <c r="E18" s="9">
        <f>D18-PayBacks!$C$11</f>
        <v>-1099.1804747259785</v>
      </c>
      <c r="F18" s="9"/>
      <c r="G18" s="11">
        <f aca="true" t="shared" si="6" ref="G18:G23">PMT(0.05,20,B18)</f>
        <v>-1145.92900942116</v>
      </c>
      <c r="H18" s="9">
        <f aca="true" t="shared" si="7" ref="H18:H23">-G18+$D$1</f>
        <v>1438.92900942116</v>
      </c>
      <c r="I18" s="9">
        <f>H18-PayBacks!$C$11</f>
        <v>-882.2385427754946</v>
      </c>
    </row>
    <row r="19" spans="1:9" ht="12.75">
      <c r="A19" t="s">
        <v>202</v>
      </c>
      <c r="B19" s="2">
        <f>costs!$C$82</f>
        <v>20196.14051557377</v>
      </c>
      <c r="C19" s="11">
        <f t="shared" si="4"/>
        <v>-1313.7879236209908</v>
      </c>
      <c r="D19" s="9">
        <f t="shared" si="5"/>
        <v>1606.7879236209908</v>
      </c>
      <c r="E19" s="9">
        <f>D19-PayBacks!$C$11</f>
        <v>-714.3796285756637</v>
      </c>
      <c r="F19" s="9"/>
      <c r="G19" s="11">
        <f t="shared" si="6"/>
        <v>-1620.5905662363818</v>
      </c>
      <c r="H19" s="9">
        <f t="shared" si="7"/>
        <v>1913.5905662363818</v>
      </c>
      <c r="I19" s="9">
        <f>H19-PayBacks!$C$11</f>
        <v>-407.5769859602726</v>
      </c>
    </row>
    <row r="20" spans="1:9" ht="12.75">
      <c r="A20" t="s">
        <v>200</v>
      </c>
      <c r="B20" s="2">
        <f>costs!$C$64</f>
        <v>22081.378610811866</v>
      </c>
      <c r="C20" s="11">
        <f t="shared" si="4"/>
        <v>-1436.425367184236</v>
      </c>
      <c r="D20" s="9">
        <f t="shared" si="5"/>
        <v>1729.425367184236</v>
      </c>
      <c r="E20" s="9">
        <f>D20-PayBacks!$C$11</f>
        <v>-591.7421850124185</v>
      </c>
      <c r="F20" s="9"/>
      <c r="G20" s="11">
        <f t="shared" si="6"/>
        <v>-1771.8669484687375</v>
      </c>
      <c r="H20" s="9">
        <f t="shared" si="7"/>
        <v>2064.8669484687375</v>
      </c>
      <c r="I20" s="9">
        <f>H20-PayBacks!$C$11</f>
        <v>-256.30060372791695</v>
      </c>
    </row>
    <row r="21" spans="1:9" ht="12.75">
      <c r="A21" t="s">
        <v>203</v>
      </c>
      <c r="B21" s="2">
        <f>costs!$C$87</f>
        <v>26046.568208913934</v>
      </c>
      <c r="C21" s="11">
        <f t="shared" si="4"/>
        <v>-1694.3666409061607</v>
      </c>
      <c r="D21" s="9">
        <f t="shared" si="5"/>
        <v>1987.3666409061607</v>
      </c>
      <c r="E21" s="9">
        <f>D21-PayBacks!$C$11</f>
        <v>-333.8009112904938</v>
      </c>
      <c r="F21" s="9"/>
      <c r="G21" s="11">
        <f t="shared" si="6"/>
        <v>-2090.044020522065</v>
      </c>
      <c r="H21" s="9">
        <f t="shared" si="7"/>
        <v>2383.044020522065</v>
      </c>
      <c r="I21" s="9">
        <f>H21-PayBacks!$C$11</f>
        <v>61.876468325410315</v>
      </c>
    </row>
    <row r="22" spans="1:9" ht="12.75">
      <c r="A22" t="s">
        <v>201</v>
      </c>
      <c r="B22" s="2">
        <f>costs!$C$69</f>
        <v>29881.948868598753</v>
      </c>
      <c r="C22" s="11">
        <f t="shared" si="4"/>
        <v>-1943.863656897796</v>
      </c>
      <c r="D22" s="9">
        <f t="shared" si="5"/>
        <v>2236.8636568977963</v>
      </c>
      <c r="E22" s="9">
        <f>D22-PayBacks!$C$11</f>
        <v>-84.30389529885815</v>
      </c>
      <c r="F22" s="9"/>
      <c r="G22" s="11">
        <f t="shared" si="6"/>
        <v>-2397.8048875163154</v>
      </c>
      <c r="H22" s="9">
        <f t="shared" si="7"/>
        <v>2690.8048875163154</v>
      </c>
      <c r="I22" s="9">
        <f>H22-PayBacks!$C$11</f>
        <v>369.6373353196609</v>
      </c>
    </row>
    <row r="23" spans="1:9" ht="12.75">
      <c r="A23" t="s">
        <v>204</v>
      </c>
      <c r="B23" s="2">
        <f>costs!$C$92</f>
        <v>31896.995902254097</v>
      </c>
      <c r="C23" s="11">
        <f t="shared" si="4"/>
        <v>-2074.945358191331</v>
      </c>
      <c r="D23" s="9">
        <f t="shared" si="5"/>
        <v>2367.945358191331</v>
      </c>
      <c r="E23" s="9">
        <f>D23-PayBacks!$C$11</f>
        <v>46.77780599467633</v>
      </c>
      <c r="F23" s="9"/>
      <c r="G23" s="11">
        <f t="shared" si="6"/>
        <v>-2559.4974748077484</v>
      </c>
      <c r="H23" s="9">
        <f t="shared" si="7"/>
        <v>2852.4974748077484</v>
      </c>
      <c r="I23" s="9">
        <f>H23-PayBacks!$C$11</f>
        <v>531.3299226110939</v>
      </c>
    </row>
    <row r="24" spans="2:9" ht="12.75">
      <c r="B24" s="2"/>
      <c r="C24" s="11"/>
      <c r="D24" s="9"/>
      <c r="E24" s="9"/>
      <c r="F24" s="9"/>
      <c r="G24" s="11"/>
      <c r="H24" s="9"/>
      <c r="I24" s="9"/>
    </row>
    <row r="25" spans="1:6" ht="12.75">
      <c r="A25" s="16" t="s">
        <v>205</v>
      </c>
      <c r="C25" s="5"/>
      <c r="D25" s="5"/>
      <c r="E25" s="5"/>
      <c r="F25" s="9"/>
    </row>
    <row r="26" spans="3:9" ht="12.75">
      <c r="C26" t="s">
        <v>126</v>
      </c>
      <c r="D26" t="s">
        <v>433</v>
      </c>
      <c r="E26" t="s">
        <v>432</v>
      </c>
      <c r="F26" s="9"/>
      <c r="G26" t="s">
        <v>116</v>
      </c>
      <c r="H26" t="s">
        <v>433</v>
      </c>
      <c r="I26" t="s">
        <v>429</v>
      </c>
    </row>
    <row r="27" spans="3:8" ht="12.75">
      <c r="C27" t="s">
        <v>117</v>
      </c>
      <c r="D27" t="s">
        <v>434</v>
      </c>
      <c r="F27" s="9"/>
      <c r="G27" t="s">
        <v>431</v>
      </c>
      <c r="H27" t="s">
        <v>434</v>
      </c>
    </row>
    <row r="28" spans="3:7" ht="12.75">
      <c r="C28" t="s">
        <v>115</v>
      </c>
      <c r="F28" s="9"/>
      <c r="G28" t="s">
        <v>115</v>
      </c>
    </row>
    <row r="29" spans="1:10" ht="12.75">
      <c r="A29" t="s">
        <v>206</v>
      </c>
      <c r="B29" s="2">
        <f>costs!$C$102</f>
        <v>10534.682266197753</v>
      </c>
      <c r="C29" s="11">
        <f aca="true" t="shared" si="8" ref="C29:C34">PMT(0.05,30,B29)</f>
        <v>-685.2961995309041</v>
      </c>
      <c r="D29" s="9">
        <f aca="true" t="shared" si="9" ref="D29:D34">-C29+$D$1</f>
        <v>978.2961995309041</v>
      </c>
      <c r="E29" s="9">
        <f>D29-PayBacks!$C$11</f>
        <v>-1342.8713526657502</v>
      </c>
      <c r="F29" s="9"/>
      <c r="G29" s="11">
        <f aca="true" t="shared" si="10" ref="G29:G34">PMT(0.05,20,B29)</f>
        <v>-845.3301602716028</v>
      </c>
      <c r="H29" s="9">
        <f aca="true" t="shared" si="11" ref="H29:H34">-G29+$D$1</f>
        <v>1138.3301602716028</v>
      </c>
      <c r="I29" s="9">
        <f>H29-PayBacks!$C$11</f>
        <v>-1182.8373919250516</v>
      </c>
      <c r="J29" s="9"/>
    </row>
    <row r="30" spans="1:10" ht="12.75">
      <c r="A30" t="s">
        <v>208</v>
      </c>
      <c r="B30" s="17">
        <f>costs!$C$119</f>
        <v>12703.888341919313</v>
      </c>
      <c r="C30" s="11">
        <f t="shared" si="8"/>
        <v>-826.4061677414468</v>
      </c>
      <c r="D30" s="9">
        <f t="shared" si="9"/>
        <v>1119.4061677414468</v>
      </c>
      <c r="E30" s="9">
        <f>D30-PayBacks!$C$11</f>
        <v>-1201.7613844552077</v>
      </c>
      <c r="F30" s="9"/>
      <c r="G30" s="11">
        <f t="shared" si="10"/>
        <v>-1019.3928679372675</v>
      </c>
      <c r="H30" s="9">
        <f t="shared" si="11"/>
        <v>1312.3928679372675</v>
      </c>
      <c r="I30" s="9">
        <f>H30-PayBacks!$C$11</f>
        <v>-1008.774684259387</v>
      </c>
      <c r="J30" s="9"/>
    </row>
    <row r="31" spans="1:10" ht="12.75">
      <c r="A31" t="s">
        <v>207</v>
      </c>
      <c r="B31" s="2">
        <f>costs!$C$107</f>
        <v>14589.126437157409</v>
      </c>
      <c r="C31" s="11">
        <f t="shared" si="8"/>
        <v>-949.043611304692</v>
      </c>
      <c r="D31" s="9">
        <f t="shared" si="9"/>
        <v>1242.0436113046921</v>
      </c>
      <c r="E31" s="9">
        <f>D31-PayBacks!$C$11</f>
        <v>-1079.1239408919623</v>
      </c>
      <c r="F31" s="9"/>
      <c r="G31" s="11">
        <f t="shared" si="10"/>
        <v>-1170.6692501696232</v>
      </c>
      <c r="H31" s="9">
        <f t="shared" si="11"/>
        <v>1463.6692501696232</v>
      </c>
      <c r="I31" s="9">
        <f>H31-PayBacks!$C$11</f>
        <v>-857.4983020270313</v>
      </c>
      <c r="J31" s="9"/>
    </row>
    <row r="32" spans="1:10" ht="12.75">
      <c r="A32" t="s">
        <v>209</v>
      </c>
      <c r="B32" s="2">
        <f>costs!$C$124</f>
        <v>15744.721470139057</v>
      </c>
      <c r="C32" s="11">
        <f t="shared" si="8"/>
        <v>-1024.2167265717878</v>
      </c>
      <c r="D32" s="9">
        <f t="shared" si="9"/>
        <v>1317.2167265717878</v>
      </c>
      <c r="E32" s="9">
        <f>D32-PayBacks!$C$11</f>
        <v>-1003.9508256248666</v>
      </c>
      <c r="F32" s="9"/>
      <c r="G32" s="11">
        <f t="shared" si="10"/>
        <v>-1263.397185360783</v>
      </c>
      <c r="H32" s="9">
        <f t="shared" si="11"/>
        <v>1556.397185360783</v>
      </c>
      <c r="I32" s="9">
        <f>H32-PayBacks!$C$11</f>
        <v>-764.7703668358715</v>
      </c>
      <c r="J32" s="9"/>
    </row>
    <row r="33" spans="1:10" ht="12.75">
      <c r="A33" t="s">
        <v>201</v>
      </c>
      <c r="B33" s="2">
        <f>costs!$C$112</f>
        <v>18643.570608117065</v>
      </c>
      <c r="C33" s="11">
        <f t="shared" si="8"/>
        <v>-1212.79102307848</v>
      </c>
      <c r="D33" s="9">
        <f t="shared" si="9"/>
        <v>1505.79102307848</v>
      </c>
      <c r="E33" s="9">
        <f>D33-PayBacks!$C$11</f>
        <v>-815.3765291181744</v>
      </c>
      <c r="F33" s="9"/>
      <c r="G33" s="11">
        <f t="shared" si="10"/>
        <v>-1496.0083400676435</v>
      </c>
      <c r="H33" s="9">
        <f t="shared" si="11"/>
        <v>1789.0083400676435</v>
      </c>
      <c r="I33" s="9">
        <f>H33-PayBacks!$C$11</f>
        <v>-532.1592121290109</v>
      </c>
      <c r="J33" s="9"/>
    </row>
    <row r="34" spans="1:10" ht="12.75">
      <c r="A34" t="s">
        <v>210</v>
      </c>
      <c r="B34" s="2">
        <f>costs!$C$129</f>
        <v>18785.554598358798</v>
      </c>
      <c r="C34" s="11">
        <f t="shared" si="8"/>
        <v>-1222.0272854021284</v>
      </c>
      <c r="D34" s="9">
        <f t="shared" si="9"/>
        <v>1515.0272854021284</v>
      </c>
      <c r="E34" s="9">
        <f>D34-PayBacks!$C$11</f>
        <v>-806.140266794526</v>
      </c>
      <c r="F34" s="9"/>
      <c r="G34" s="11">
        <f t="shared" si="10"/>
        <v>-1507.4015027842984</v>
      </c>
      <c r="H34" s="9">
        <f t="shared" si="11"/>
        <v>1800.4015027842984</v>
      </c>
      <c r="I34" s="9">
        <f>H34-PayBacks!$C$11</f>
        <v>-520.7660494123561</v>
      </c>
      <c r="J34" s="9"/>
    </row>
    <row r="35" spans="3:6" ht="12.75">
      <c r="C35" s="5"/>
      <c r="D35" s="5"/>
      <c r="E35" s="5"/>
      <c r="F35" s="9"/>
    </row>
    <row r="36" spans="3:6" ht="12.75">
      <c r="C36" s="5"/>
      <c r="D36" s="5"/>
      <c r="E36" s="5"/>
      <c r="F36" s="9"/>
    </row>
    <row r="37" spans="3:6" ht="12.75">
      <c r="C37" s="5"/>
      <c r="D37" s="5"/>
      <c r="E37" s="5"/>
      <c r="F37" s="9"/>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56"/>
  <sheetViews>
    <sheetView workbookViewId="0" topLeftCell="A1">
      <selection activeCell="A1" sqref="A1"/>
    </sheetView>
  </sheetViews>
  <sheetFormatPr defaultColWidth="9.140625" defaultRowHeight="12.75"/>
  <cols>
    <col min="1" max="1" width="122.00390625" style="0" customWidth="1"/>
    <col min="2" max="2" width="50.28125" style="0" customWidth="1"/>
  </cols>
  <sheetData>
    <row r="1" ht="15.75">
      <c r="A1" s="33" t="s">
        <v>369</v>
      </c>
    </row>
    <row r="2" ht="15.75">
      <c r="A2" s="31"/>
    </row>
    <row r="3" spans="1:2" ht="32.25" thickBot="1">
      <c r="A3" s="31" t="s">
        <v>370</v>
      </c>
      <c r="B3" s="23" t="s">
        <v>568</v>
      </c>
    </row>
    <row r="4" ht="15.75">
      <c r="A4" s="31"/>
    </row>
    <row r="5" ht="78.75">
      <c r="A5" s="31" t="s">
        <v>371</v>
      </c>
    </row>
    <row r="6" ht="15.75">
      <c r="A6" s="31"/>
    </row>
    <row r="7" ht="78.75">
      <c r="A7" s="31" t="s">
        <v>561</v>
      </c>
    </row>
    <row r="8" ht="15.75">
      <c r="A8" s="31"/>
    </row>
    <row r="9" ht="47.25">
      <c r="A9" s="31" t="s">
        <v>0</v>
      </c>
    </row>
    <row r="10" ht="15.75">
      <c r="A10" s="31"/>
    </row>
    <row r="11" ht="47.25">
      <c r="A11" s="31" t="s">
        <v>1</v>
      </c>
    </row>
    <row r="12" ht="15.75">
      <c r="A12" s="31"/>
    </row>
    <row r="13" ht="15.75">
      <c r="A13" s="31" t="s">
        <v>2</v>
      </c>
    </row>
    <row r="14" ht="15.75">
      <c r="A14" s="31"/>
    </row>
    <row r="15" ht="78.75">
      <c r="A15" s="34" t="s">
        <v>3</v>
      </c>
    </row>
    <row r="16" ht="63">
      <c r="A16" s="34" t="s">
        <v>4</v>
      </c>
    </row>
    <row r="17" ht="63">
      <c r="A17" s="34" t="s">
        <v>5</v>
      </c>
    </row>
    <row r="18" ht="31.5">
      <c r="A18" s="34" t="s">
        <v>6</v>
      </c>
    </row>
    <row r="19" ht="15.75">
      <c r="A19" s="31"/>
    </row>
    <row r="20" ht="15.75">
      <c r="A20" s="31"/>
    </row>
    <row r="21" ht="63">
      <c r="A21" s="31" t="s">
        <v>565</v>
      </c>
    </row>
    <row r="22" ht="15.75">
      <c r="A22" s="31"/>
    </row>
    <row r="23" ht="15.75">
      <c r="A23" s="31" t="s">
        <v>566</v>
      </c>
    </row>
    <row r="24" ht="15.75">
      <c r="A24" s="31"/>
    </row>
    <row r="25" ht="47.25">
      <c r="A25" s="31" t="s">
        <v>567</v>
      </c>
    </row>
    <row r="26" ht="15.75">
      <c r="A26" s="31"/>
    </row>
    <row r="27" ht="12.75">
      <c r="A27" s="26" t="s">
        <v>569</v>
      </c>
    </row>
    <row r="28" ht="12.75">
      <c r="A28" s="26"/>
    </row>
    <row r="29" ht="12.75">
      <c r="A29" s="26" t="s">
        <v>570</v>
      </c>
    </row>
    <row r="30" ht="12.75">
      <c r="A30" s="26"/>
    </row>
    <row r="31" ht="12.75">
      <c r="A31" s="26" t="s">
        <v>571</v>
      </c>
    </row>
    <row r="32" ht="12.75">
      <c r="A32" s="35" t="s">
        <v>572</v>
      </c>
    </row>
    <row r="33" ht="12.75">
      <c r="A33" s="26"/>
    </row>
    <row r="34" ht="12.75">
      <c r="A34" s="26" t="s">
        <v>573</v>
      </c>
    </row>
    <row r="35" ht="12.75">
      <c r="A35" s="26"/>
    </row>
    <row r="36" ht="12.75">
      <c r="A36" s="3" t="s">
        <v>574</v>
      </c>
    </row>
    <row r="37" ht="12.75">
      <c r="A37" s="26"/>
    </row>
    <row r="38" ht="12.75">
      <c r="A38" s="26" t="s">
        <v>575</v>
      </c>
    </row>
    <row r="39" ht="12.75">
      <c r="A39" s="26"/>
    </row>
    <row r="40" ht="12.75">
      <c r="A40" s="26" t="s">
        <v>576</v>
      </c>
    </row>
    <row r="41" ht="12.75">
      <c r="A41" s="26"/>
    </row>
    <row r="42" ht="12.75">
      <c r="A42" s="26" t="s">
        <v>577</v>
      </c>
    </row>
    <row r="43" ht="12.75">
      <c r="A43" s="26"/>
    </row>
    <row r="44" ht="12.75">
      <c r="A44" s="26" t="s">
        <v>578</v>
      </c>
    </row>
    <row r="45" ht="12.75">
      <c r="A45" s="26"/>
    </row>
    <row r="46" ht="12.75">
      <c r="A46" s="26" t="s">
        <v>579</v>
      </c>
    </row>
    <row r="47" ht="12.75">
      <c r="A47" s="26"/>
    </row>
    <row r="48" ht="12.75">
      <c r="A48" s="3" t="s">
        <v>580</v>
      </c>
    </row>
    <row r="49" ht="12.75">
      <c r="A49" s="3"/>
    </row>
    <row r="50" ht="15.75">
      <c r="A50" s="36" t="s">
        <v>581</v>
      </c>
    </row>
    <row r="51" ht="12.75">
      <c r="A51" s="26"/>
    </row>
    <row r="52" ht="12.75">
      <c r="A52" s="26" t="s">
        <v>582</v>
      </c>
    </row>
    <row r="53" ht="12.75">
      <c r="A53" s="26"/>
    </row>
    <row r="54" ht="12.75">
      <c r="A54" s="3" t="s">
        <v>583</v>
      </c>
    </row>
    <row r="55" ht="12.75">
      <c r="A55" s="26" t="s">
        <v>508</v>
      </c>
    </row>
    <row r="56" ht="12.75">
      <c r="A56" s="35" t="s">
        <v>509</v>
      </c>
    </row>
    <row r="57" ht="12.75">
      <c r="A57" s="26"/>
    </row>
    <row r="58" ht="12.75">
      <c r="A58" s="3" t="s">
        <v>510</v>
      </c>
    </row>
    <row r="59" ht="12.75">
      <c r="A59" s="26"/>
    </row>
    <row r="60" ht="12.75">
      <c r="A60" s="26" t="s">
        <v>511</v>
      </c>
    </row>
    <row r="61" ht="12.75">
      <c r="A61" s="26"/>
    </row>
    <row r="62" ht="12.75">
      <c r="A62" s="26"/>
    </row>
    <row r="63" ht="12.75">
      <c r="A63" s="26" t="s">
        <v>512</v>
      </c>
    </row>
    <row r="64" ht="12.75">
      <c r="A64" s="26"/>
    </row>
    <row r="65" ht="12.75">
      <c r="A65" s="26" t="s">
        <v>513</v>
      </c>
    </row>
    <row r="66" ht="12.75">
      <c r="A66" s="26"/>
    </row>
    <row r="67" ht="12.75">
      <c r="A67" s="3" t="s">
        <v>514</v>
      </c>
    </row>
    <row r="68" ht="12.75">
      <c r="A68" s="26"/>
    </row>
    <row r="69" ht="12.75">
      <c r="A69" s="26" t="s">
        <v>515</v>
      </c>
    </row>
    <row r="70" ht="12.75">
      <c r="A70" s="26"/>
    </row>
    <row r="71" ht="12.75">
      <c r="A71" s="26" t="s">
        <v>516</v>
      </c>
    </row>
    <row r="72" ht="12.75">
      <c r="A72" s="26"/>
    </row>
    <row r="73" ht="15.75">
      <c r="A73" s="36" t="s">
        <v>517</v>
      </c>
    </row>
    <row r="74" ht="12.75">
      <c r="A74" s="26"/>
    </row>
    <row r="75" ht="12.75">
      <c r="A75" s="26" t="s">
        <v>518</v>
      </c>
    </row>
    <row r="76" ht="12.75">
      <c r="A76" s="26"/>
    </row>
    <row r="77" ht="12.75">
      <c r="A77" s="3" t="s">
        <v>519</v>
      </c>
    </row>
    <row r="78" ht="12.75">
      <c r="A78" s="26" t="s">
        <v>520</v>
      </c>
    </row>
    <row r="79" ht="12.75">
      <c r="A79" s="26"/>
    </row>
    <row r="80" ht="12.75">
      <c r="A80" s="26" t="s">
        <v>521</v>
      </c>
    </row>
    <row r="81" ht="12.75">
      <c r="A81" s="26" t="s">
        <v>522</v>
      </c>
    </row>
    <row r="82" ht="12.75">
      <c r="A82" s="26"/>
    </row>
    <row r="83" ht="12.75">
      <c r="A83" s="26"/>
    </row>
    <row r="84" ht="12.75">
      <c r="A84" s="3" t="s">
        <v>523</v>
      </c>
    </row>
    <row r="85" ht="12.75">
      <c r="A85" s="26"/>
    </row>
    <row r="86" ht="12.75">
      <c r="A86" s="3" t="s">
        <v>524</v>
      </c>
    </row>
    <row r="87" ht="12.75">
      <c r="A87" s="26" t="s">
        <v>525</v>
      </c>
    </row>
    <row r="88" ht="12.75">
      <c r="A88" s="26"/>
    </row>
    <row r="89" ht="12.75">
      <c r="A89" s="26" t="s">
        <v>526</v>
      </c>
    </row>
    <row r="90" ht="12.75">
      <c r="A90" s="26" t="s">
        <v>527</v>
      </c>
    </row>
    <row r="91" ht="12.75">
      <c r="A91" s="26"/>
    </row>
    <row r="92" ht="12.75">
      <c r="A92" s="3" t="s">
        <v>528</v>
      </c>
    </row>
    <row r="93" ht="12.75">
      <c r="A93" s="26"/>
    </row>
    <row r="94" ht="12.75">
      <c r="A94" s="26" t="s">
        <v>600</v>
      </c>
    </row>
    <row r="95" ht="12.75">
      <c r="A95" s="26"/>
    </row>
    <row r="96" ht="12.75">
      <c r="A96" s="26" t="s">
        <v>601</v>
      </c>
    </row>
    <row r="97" ht="12.75">
      <c r="A97" s="26"/>
    </row>
    <row r="98" ht="12.75">
      <c r="A98" s="3" t="s">
        <v>602</v>
      </c>
    </row>
    <row r="99" ht="12.75">
      <c r="A99" s="26" t="s">
        <v>603</v>
      </c>
    </row>
    <row r="100" ht="12.75">
      <c r="A100" s="26"/>
    </row>
    <row r="101" ht="12.75">
      <c r="A101" s="3" t="s">
        <v>604</v>
      </c>
    </row>
    <row r="102" ht="12.75">
      <c r="A102" s="26"/>
    </row>
    <row r="103" ht="12.75">
      <c r="A103" s="26" t="s">
        <v>605</v>
      </c>
    </row>
    <row r="104" ht="12.75">
      <c r="A104" s="26"/>
    </row>
    <row r="105" ht="12.75">
      <c r="A105" s="26" t="s">
        <v>606</v>
      </c>
    </row>
    <row r="106" ht="12.75">
      <c r="A106" s="26"/>
    </row>
    <row r="107" ht="12.75">
      <c r="A107" s="26" t="s">
        <v>607</v>
      </c>
    </row>
    <row r="108" ht="12.75">
      <c r="A108" s="26"/>
    </row>
    <row r="109" ht="12.75">
      <c r="A109" s="3" t="s">
        <v>608</v>
      </c>
    </row>
    <row r="110" ht="12.75">
      <c r="A110" s="26" t="s">
        <v>609</v>
      </c>
    </row>
    <row r="111" ht="12.75">
      <c r="A111" s="26"/>
    </row>
    <row r="112" ht="12.75">
      <c r="A112" s="26" t="s">
        <v>610</v>
      </c>
    </row>
    <row r="113" ht="12.75">
      <c r="A113" s="26"/>
    </row>
    <row r="114" ht="12.75">
      <c r="A114" s="3" t="s">
        <v>611</v>
      </c>
    </row>
    <row r="115" ht="12.75">
      <c r="A115" s="26"/>
    </row>
    <row r="116" ht="12.75">
      <c r="A116" s="26" t="s">
        <v>612</v>
      </c>
    </row>
    <row r="117" ht="12.75">
      <c r="A117" s="26"/>
    </row>
    <row r="118" ht="12.75">
      <c r="A118" s="26" t="s">
        <v>613</v>
      </c>
    </row>
    <row r="119" ht="12.75">
      <c r="A119" s="26"/>
    </row>
    <row r="120" ht="12.75">
      <c r="A120" s="3" t="s">
        <v>614</v>
      </c>
    </row>
    <row r="121" ht="12.75">
      <c r="A121" s="26"/>
    </row>
    <row r="122" ht="12.75">
      <c r="A122" s="3" t="s">
        <v>615</v>
      </c>
    </row>
    <row r="123" ht="12.75">
      <c r="A123" s="26"/>
    </row>
    <row r="124" ht="12.75">
      <c r="A124" s="3" t="s">
        <v>616</v>
      </c>
    </row>
    <row r="125" ht="12.75">
      <c r="A125" s="26"/>
    </row>
    <row r="126" ht="12.75">
      <c r="A126" s="26" t="s">
        <v>617</v>
      </c>
    </row>
    <row r="127" ht="12.75">
      <c r="A127" s="26"/>
    </row>
    <row r="128" ht="12.75">
      <c r="A128" s="3" t="s">
        <v>618</v>
      </c>
    </row>
    <row r="129" ht="12.75">
      <c r="A129" s="26"/>
    </row>
    <row r="130" ht="12.75">
      <c r="A130" s="26" t="s">
        <v>619</v>
      </c>
    </row>
    <row r="131" ht="12.75">
      <c r="A131" s="26"/>
    </row>
    <row r="132" ht="12.75">
      <c r="A132" s="3" t="s">
        <v>129</v>
      </c>
    </row>
    <row r="133" ht="12.75">
      <c r="A133" s="26"/>
    </row>
    <row r="134" ht="12.75">
      <c r="A134" s="3" t="s">
        <v>130</v>
      </c>
    </row>
    <row r="135" ht="12.75">
      <c r="A135" s="26"/>
    </row>
    <row r="136" ht="12.75">
      <c r="A136" s="3" t="s">
        <v>131</v>
      </c>
    </row>
    <row r="137" ht="12.75">
      <c r="A137" s="26"/>
    </row>
    <row r="138" ht="12.75">
      <c r="A138" s="3" t="s">
        <v>132</v>
      </c>
    </row>
    <row r="139" ht="12.75">
      <c r="A139" s="26"/>
    </row>
    <row r="140" ht="12.75">
      <c r="A140" s="3" t="s">
        <v>133</v>
      </c>
    </row>
    <row r="141" ht="12.75">
      <c r="A141" s="26"/>
    </row>
    <row r="142" ht="12.75">
      <c r="A142" s="3" t="s">
        <v>134</v>
      </c>
    </row>
    <row r="143" ht="12.75">
      <c r="A143" s="26"/>
    </row>
    <row r="144" ht="12.75">
      <c r="A144" s="3" t="s">
        <v>135</v>
      </c>
    </row>
    <row r="145" ht="12.75">
      <c r="A145" s="26"/>
    </row>
    <row r="146" ht="12.75">
      <c r="A146" s="26" t="s">
        <v>136</v>
      </c>
    </row>
    <row r="147" ht="12.75">
      <c r="A147" s="26"/>
    </row>
    <row r="148" ht="12.75">
      <c r="A148" s="26" t="s">
        <v>137</v>
      </c>
    </row>
    <row r="149" ht="12.75">
      <c r="A149" s="26"/>
    </row>
    <row r="150" ht="12.75">
      <c r="A150" s="26" t="s">
        <v>138</v>
      </c>
    </row>
    <row r="151" ht="12.75">
      <c r="A151" s="26" t="s">
        <v>139</v>
      </c>
    </row>
    <row r="152" ht="12.75">
      <c r="A152" s="26"/>
    </row>
    <row r="153" ht="12.75">
      <c r="A153" s="26" t="s">
        <v>140</v>
      </c>
    </row>
    <row r="154" ht="12.75">
      <c r="A154" s="26"/>
    </row>
    <row r="155" ht="12.75">
      <c r="A155" s="3" t="s">
        <v>141</v>
      </c>
    </row>
    <row r="156" ht="12.75">
      <c r="A156" s="26"/>
    </row>
  </sheetData>
  <hyperlinks>
    <hyperlink ref="A36" location="_ednref2" display="_ednref2"/>
    <hyperlink ref="A48" location="_ednref3" display="_ednref3"/>
    <hyperlink ref="A49" location="_ednref4" display="_ednref4"/>
    <hyperlink ref="A54" location="_ednref5" display="_ednref5"/>
    <hyperlink ref="A58" location="_ednref6" display="_ednref6"/>
    <hyperlink ref="A67" location="_ednref7" display="_ednref7"/>
    <hyperlink ref="A77" location="_ednref9" display="_ednref9"/>
    <hyperlink ref="A84" location="_ednref10" display="_ednref10"/>
    <hyperlink ref="A86" location="_ednref11" display="_ednref11"/>
    <hyperlink ref="A92" location="_ednref12" display="_ednref12"/>
    <hyperlink ref="A98" location="_ednref13" display="_ednref13"/>
    <hyperlink ref="A101" r:id="rId1" display="_ednref14"/>
    <hyperlink ref="A109" r:id="rId2" display="_ednref15"/>
    <hyperlink ref="A114" location="_ednref16" display="_ednref16"/>
    <hyperlink ref="A120" location="_ednref17" display="_ednref17"/>
    <hyperlink ref="A122" location="_ednref18" display="_ednref18"/>
    <hyperlink ref="A124" location="_ednref19" display="_ednref19"/>
    <hyperlink ref="A128" location="_ednref20" display="_ednref20"/>
    <hyperlink ref="A132" location="_ednref21" display="_ednref21"/>
    <hyperlink ref="A134" location="_ednref22" display="_ednref22"/>
    <hyperlink ref="A136" location="_ednref23" display="_ednref23"/>
    <hyperlink ref="A138" location="_ednref24" display="_ednref24"/>
    <hyperlink ref="A140" location="_ednref25" display="_ednref25"/>
    <hyperlink ref="A142" r:id="rId3" display="_ednref26"/>
    <hyperlink ref="A144" r:id="rId4" display="_ednref27"/>
    <hyperlink ref="A155" r:id="rId5" display="_ednref28"/>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68"/>
  <sheetViews>
    <sheetView workbookViewId="0" topLeftCell="A1">
      <selection activeCell="A12" sqref="A12"/>
    </sheetView>
  </sheetViews>
  <sheetFormatPr defaultColWidth="9.140625" defaultRowHeight="12.75"/>
  <cols>
    <col min="1" max="1" width="121.421875" style="0" customWidth="1"/>
  </cols>
  <sheetData>
    <row r="1" spans="1:2" ht="30" customHeight="1">
      <c r="A1" s="40" t="s">
        <v>144</v>
      </c>
      <c r="B1" t="s">
        <v>678</v>
      </c>
    </row>
    <row r="2" ht="63">
      <c r="A2" s="37" t="s">
        <v>143</v>
      </c>
    </row>
    <row r="3" ht="15.75">
      <c r="A3" s="37"/>
    </row>
    <row r="4" ht="78.75">
      <c r="A4" s="37" t="s">
        <v>677</v>
      </c>
    </row>
    <row r="5" ht="12.75">
      <c r="A5" s="38"/>
    </row>
    <row r="6" ht="12.75">
      <c r="A6" s="38"/>
    </row>
    <row r="7" ht="12.75">
      <c r="A7" t="s">
        <v>679</v>
      </c>
    </row>
    <row r="8" ht="13.5" thickBot="1"/>
    <row r="9" spans="1:2" ht="82.5" thickBot="1">
      <c r="A9" s="41" t="s">
        <v>680</v>
      </c>
      <c r="B9" s="42" t="s">
        <v>681</v>
      </c>
    </row>
    <row r="10" spans="1:2" ht="32.25" thickBot="1">
      <c r="A10" s="43" t="s">
        <v>682</v>
      </c>
      <c r="B10" s="44" t="s">
        <v>683</v>
      </c>
    </row>
    <row r="11" spans="1:2" ht="32.25" thickBot="1">
      <c r="A11" s="43" t="s">
        <v>684</v>
      </c>
      <c r="B11" s="44" t="s">
        <v>685</v>
      </c>
    </row>
    <row r="12" spans="1:2" ht="32.25" thickBot="1">
      <c r="A12" s="43" t="s">
        <v>686</v>
      </c>
      <c r="B12" s="44" t="s">
        <v>687</v>
      </c>
    </row>
    <row r="13" spans="1:2" ht="32.25" thickBot="1">
      <c r="A13" s="43" t="s">
        <v>688</v>
      </c>
      <c r="B13" s="44" t="s">
        <v>689</v>
      </c>
    </row>
    <row r="14" spans="1:2" ht="32.25" thickBot="1">
      <c r="A14" s="43" t="s">
        <v>690</v>
      </c>
      <c r="B14" s="44" t="s">
        <v>691</v>
      </c>
    </row>
    <row r="15" spans="1:2" ht="32.25" thickBot="1">
      <c r="A15" s="43" t="s">
        <v>692</v>
      </c>
      <c r="B15" s="44" t="s">
        <v>693</v>
      </c>
    </row>
    <row r="16" spans="1:2" ht="24" customHeight="1">
      <c r="A16" s="127" t="s">
        <v>694</v>
      </c>
      <c r="B16" s="127" t="s">
        <v>695</v>
      </c>
    </row>
    <row r="17" spans="1:2" ht="13.5" thickBot="1">
      <c r="A17" s="128"/>
      <c r="B17" s="128"/>
    </row>
    <row r="18" spans="1:2" ht="77.25" thickBot="1">
      <c r="A18" s="43" t="s">
        <v>696</v>
      </c>
      <c r="B18" s="44" t="s">
        <v>697</v>
      </c>
    </row>
    <row r="19" ht="15.75">
      <c r="A19" s="1"/>
    </row>
    <row r="20" ht="15.75">
      <c r="A20" s="1" t="s">
        <v>698</v>
      </c>
    </row>
    <row r="21" ht="15.75">
      <c r="A21" s="1"/>
    </row>
    <row r="22" ht="15.75">
      <c r="A22" s="1" t="s">
        <v>372</v>
      </c>
    </row>
    <row r="23" ht="15.75">
      <c r="A23" s="1"/>
    </row>
    <row r="24" ht="15.75">
      <c r="A24" s="1" t="s">
        <v>500</v>
      </c>
    </row>
    <row r="25" ht="15.75">
      <c r="A25" s="1"/>
    </row>
    <row r="26" ht="15.75">
      <c r="A26" s="1" t="s">
        <v>501</v>
      </c>
    </row>
    <row r="28" ht="19.5">
      <c r="A28" s="45" t="s">
        <v>416</v>
      </c>
    </row>
    <row r="31" ht="12.75">
      <c r="A31" s="3" t="s">
        <v>502</v>
      </c>
    </row>
    <row r="32" ht="12.75">
      <c r="A32" s="26"/>
    </row>
    <row r="33" ht="12.75">
      <c r="A33" s="3" t="s">
        <v>503</v>
      </c>
    </row>
    <row r="34" ht="12.75">
      <c r="A34" s="26"/>
    </row>
    <row r="35" ht="12.75">
      <c r="A35" s="3" t="s">
        <v>504</v>
      </c>
    </row>
    <row r="36" ht="12.75">
      <c r="A36" s="26"/>
    </row>
    <row r="37" ht="12.75">
      <c r="A37" s="3" t="s">
        <v>505</v>
      </c>
    </row>
    <row r="38" ht="12.75">
      <c r="A38" s="26"/>
    </row>
    <row r="39" ht="12.75">
      <c r="A39" s="3" t="s">
        <v>506</v>
      </c>
    </row>
    <row r="40" ht="12.75">
      <c r="A40" s="26"/>
    </row>
    <row r="41" ht="12.75">
      <c r="A41" s="3" t="s">
        <v>382</v>
      </c>
    </row>
    <row r="42" ht="12.75">
      <c r="A42" s="26"/>
    </row>
    <row r="43" ht="12.75">
      <c r="A43" s="3" t="s">
        <v>383</v>
      </c>
    </row>
    <row r="44" ht="12.75">
      <c r="A44" s="26" t="s">
        <v>384</v>
      </c>
    </row>
    <row r="45" ht="12.75">
      <c r="A45" s="26"/>
    </row>
    <row r="46" ht="12.75">
      <c r="A46" s="3" t="s">
        <v>385</v>
      </c>
    </row>
    <row r="47" ht="12.75">
      <c r="A47" s="26" t="s">
        <v>386</v>
      </c>
    </row>
    <row r="48" ht="12.75">
      <c r="A48" s="26"/>
    </row>
    <row r="49" ht="12.75">
      <c r="A49" s="3" t="s">
        <v>387</v>
      </c>
    </row>
    <row r="50" ht="12.75">
      <c r="A50" s="26" t="s">
        <v>388</v>
      </c>
    </row>
    <row r="51" ht="12.75">
      <c r="A51" s="26"/>
    </row>
    <row r="52" ht="12.75">
      <c r="A52" s="3" t="s">
        <v>389</v>
      </c>
    </row>
    <row r="53" ht="12.75">
      <c r="A53" s="26"/>
    </row>
    <row r="54" ht="12.75">
      <c r="A54" s="3" t="s">
        <v>390</v>
      </c>
    </row>
    <row r="55" ht="12.75">
      <c r="A55" s="26"/>
    </row>
    <row r="56" ht="12.75">
      <c r="A56" s="3" t="s">
        <v>391</v>
      </c>
    </row>
    <row r="57" ht="12.75">
      <c r="A57" s="26" t="s">
        <v>392</v>
      </c>
    </row>
    <row r="58" ht="12.75">
      <c r="A58" s="26"/>
    </row>
    <row r="59" ht="12.75">
      <c r="A59" s="3" t="s">
        <v>393</v>
      </c>
    </row>
    <row r="60" ht="12.75">
      <c r="A60" s="26"/>
    </row>
    <row r="61" ht="12.75">
      <c r="A61" s="3" t="s">
        <v>394</v>
      </c>
    </row>
    <row r="62" ht="12.75">
      <c r="A62" s="26"/>
    </row>
    <row r="63" ht="12.75">
      <c r="A63" s="3" t="s">
        <v>395</v>
      </c>
    </row>
    <row r="64" ht="12.75">
      <c r="A64" s="26"/>
    </row>
    <row r="65" ht="12.75">
      <c r="A65" s="3" t="s">
        <v>396</v>
      </c>
    </row>
    <row r="66" ht="12.75">
      <c r="A66" s="26"/>
    </row>
    <row r="67" ht="12.75">
      <c r="A67" s="3" t="s">
        <v>397</v>
      </c>
    </row>
    <row r="68" ht="12.75">
      <c r="A68" s="26"/>
    </row>
  </sheetData>
  <mergeCells count="2">
    <mergeCell ref="A16:A17"/>
    <mergeCell ref="B16:B17"/>
  </mergeCells>
  <hyperlinks>
    <hyperlink ref="A10" location="_edn8" display="_edn8"/>
    <hyperlink ref="A11" location="_edn9" display="_edn9"/>
    <hyperlink ref="A12" location="_edn10" display="_edn10"/>
    <hyperlink ref="A13" location="_edn11" display="_edn11"/>
    <hyperlink ref="A14" location="_edn12" display="_edn12"/>
    <hyperlink ref="A15" location="_edn13" display="_edn13"/>
    <hyperlink ref="A18" location="_edn17" display="_edn17"/>
    <hyperlink ref="A31" r:id="rId1" display="_ednref1"/>
    <hyperlink ref="A33" location="_ednref2" display="_ednref2"/>
    <hyperlink ref="A35" location="_ednref3" display="_ednref3"/>
    <hyperlink ref="A37" location="_ednref4" display="_ednref4"/>
    <hyperlink ref="A39" location="_ednref5" display="_ednref5"/>
    <hyperlink ref="A41" location="_ednref6" display="_ednref6"/>
    <hyperlink ref="A43" location="_ednref7" display="_ednref7"/>
    <hyperlink ref="A46" location="_ednref8" display="_ednref8"/>
    <hyperlink ref="A49" location="_ednref9" display="_ednref9"/>
    <hyperlink ref="A52" location="_ednref10" display="_ednref10"/>
    <hyperlink ref="A54" location="_ednref11" display="_ednref11"/>
    <hyperlink ref="A56" location="_ednref12" display="_ednref12"/>
    <hyperlink ref="A59" location="_ednref13" display="_ednref13"/>
    <hyperlink ref="A61" r:id="rId2" display="_ednref14"/>
    <hyperlink ref="A63" r:id="rId3" display="_ednref15"/>
    <hyperlink ref="A65" location="_ednref16" display="_ednref16"/>
    <hyperlink ref="A67" location="_ednref17" display="_ednref17"/>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not well organized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 Lipow</dc:creator>
  <cp:keywords/>
  <dc:description/>
  <cp:lastModifiedBy>Gar Lipow</cp:lastModifiedBy>
  <cp:lastPrinted>2008-06-17T20:13:43Z</cp:lastPrinted>
  <dcterms:created xsi:type="dcterms:W3CDTF">2008-06-15T21:48:04Z</dcterms:created>
  <dcterms:modified xsi:type="dcterms:W3CDTF">2009-07-18T22:19:34Z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