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76" windowWidth="12870" windowHeight="14580" activeTab="0"/>
  </bookViews>
  <sheets>
    <sheet name="MPGe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<sst xmlns="http://schemas.openxmlformats.org/spreadsheetml/2006/main" count="58" uniqueCount="48">
  <si>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>Fuel</t>
  </si>
  <si>
    <t>Unit</t>
  </si>
  <si>
    <t>Btu/unit</t>
  </si>
  <si>
    <t>gasoline</t>
  </si>
  <si>
    <t>gallon</t>
  </si>
  <si>
    <t>electricity</t>
  </si>
  <si>
    <t>kWh</t>
  </si>
  <si>
    <t>diesel</t>
  </si>
  <si>
    <t>biodiesel</t>
  </si>
  <si>
    <t>ethanol</t>
  </si>
  <si>
    <t>E85</t>
  </si>
  <si>
    <t>CNG</t>
  </si>
  <si>
    <t>SCF</t>
  </si>
  <si>
    <t>H2-Gas</t>
  </si>
  <si>
    <t>H2-Liq</t>
  </si>
  <si>
    <t>LPG</t>
  </si>
  <si>
    <t>methanol</t>
  </si>
  <si>
    <t>none</t>
  </si>
  <si>
    <t>Total Fuels Used:</t>
  </si>
  <si>
    <t>Units Used</t>
  </si>
  <si>
    <t>Total Distance Traveled:</t>
  </si>
  <si>
    <t>MPGe:</t>
  </si>
  <si>
    <t>Total Btus</t>
  </si>
  <si>
    <t>CONVERT TOTAL FUELS USED AND MILEAGE TO MPGe</t>
  </si>
  <si>
    <t>CONVERT PHEV MPG AND WH/MI TO MPGe</t>
  </si>
  <si>
    <t>Miles-Per-Gallon (gasoline) - MPG:</t>
  </si>
  <si>
    <t>Watt-Hours (electricity) per mile:</t>
  </si>
  <si>
    <t>Note:</t>
  </si>
  <si>
    <t xml:space="preserve">Note: </t>
  </si>
  <si>
    <t xml:space="preserve">In all cases, the "units used" is the amount of  fuel delivered from the pump (or plug) to the vehicle. </t>
  </si>
  <si>
    <t xml:space="preserve">As above, electricity is measure at the wall plug, prior to any conversion losses during charging.  </t>
  </si>
  <si>
    <t>In the case of electricity, this is measured from the wall plug - i.e., prior to any losses incurred</t>
  </si>
  <si>
    <t xml:space="preserve">during  battery charging. </t>
  </si>
  <si>
    <t>Charging time (hours):</t>
  </si>
  <si>
    <t>110V, 15A circuit:</t>
  </si>
  <si>
    <t>220V, 15A circuit:</t>
  </si>
  <si>
    <t>240V, 70A circuit:</t>
  </si>
  <si>
    <t>Total Charge from Plug (kWh)</t>
  </si>
  <si>
    <t>`</t>
  </si>
  <si>
    <t>Total Charge in Battery (kWh)</t>
  </si>
  <si>
    <r>
      <rPr>
        <b/>
        <sz val="16"/>
        <color indexed="8"/>
        <rFont val="Calibri"/>
        <family val="2"/>
      </rPr>
      <t xml:space="preserve">   </t>
    </r>
    <r>
      <rPr>
        <b/>
        <u val="single"/>
        <sz val="18"/>
        <color indexed="8"/>
        <rFont val="Calibri"/>
        <family val="2"/>
      </rPr>
      <t>MPGe Calculator</t>
    </r>
  </si>
  <si>
    <t xml:space="preserve">   (miles-per-gallon energy equivalent) </t>
  </si>
  <si>
    <t>BATTERY CHARGING  FOR PHEV AND BEV VEHICLES</t>
  </si>
  <si>
    <t>Charging efficiency (%):</t>
  </si>
  <si>
    <t>Gasoline Energy Equivalent (Gallons)</t>
  </si>
  <si>
    <t xml:space="preserve">http://autoblog.xprize.org/axp/2009/08/calculating-mpge.html </t>
  </si>
  <si>
    <t>21 Aug. 2009; Discussion here:</t>
  </si>
  <si>
    <t>Gasoline Energy Equivalent (gallons)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</si>
</sst>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u val="single"/>
      <sz val="16"/>
      <color theme="1"/>
      <name val="Calibri"/>
      <family val="2"/>
    </font>
    <font>
      <b/>
      <u val="single"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0" fontId="44" fillId="0" borderId="0" xfId="0" applyFont="1" applyAlignment="1">
      <alignment/>
    </xf>
    <xf numFmtId="1" fontId="44" fillId="0" borderId="0" xfId="0" applyNumberFormat="1" applyFont="1" applyAlignment="1">
      <alignment/>
    </xf>
    <xf numFmtId="49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wrapText="1"/>
      <protection locked="0"/>
    </xf>
    <xf numFmtId="164" fontId="3" fillId="0" borderId="0" xfId="0" applyNumberFormat="1" applyFont="1" applyFill="1" applyAlignment="1" applyProtection="1">
      <alignment wrapText="1"/>
      <protection locked="0"/>
    </xf>
    <xf numFmtId="164" fontId="0" fillId="33" borderId="0" xfId="0" applyNumberFormat="1" applyFill="1" applyAlignment="1" applyProtection="1">
      <alignment/>
      <protection locked="0"/>
    </xf>
    <xf numFmtId="164" fontId="44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Alignment="1" applyProtection="1">
      <alignment horizontal="left" wrapText="1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NumberFormat="1" applyAlignment="1">
      <alignment/>
    </xf>
    <xf numFmtId="0" fontId="44" fillId="0" borderId="0" xfId="0" applyNumberFormat="1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 horizontal="right"/>
    </xf>
    <xf numFmtId="49" fontId="0" fillId="0" borderId="0" xfId="0" applyNumberFormat="1" applyAlignment="1">
      <alignment wrapText="1"/>
    </xf>
    <xf numFmtId="0" fontId="0" fillId="0" borderId="0" xfId="0" applyFill="1" applyAlignment="1">
      <alignment/>
    </xf>
    <xf numFmtId="49" fontId="4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44" fillId="0" borderId="0" xfId="0" applyNumberFormat="1" applyFont="1" applyAlignment="1">
      <alignment horizontal="center" vertical="center" wrapText="1"/>
    </xf>
    <xf numFmtId="49" fontId="44" fillId="0" borderId="0" xfId="0" applyNumberFormat="1" applyFont="1" applyAlignment="1">
      <alignment horizontal="right" wrapText="1"/>
    </xf>
    <xf numFmtId="0" fontId="44" fillId="0" borderId="0" xfId="0" applyFont="1" applyAlignment="1">
      <alignment horizontal="left"/>
    </xf>
    <xf numFmtId="9" fontId="0" fillId="33" borderId="0" xfId="59" applyFont="1" applyFill="1" applyAlignment="1" applyProtection="1">
      <alignment/>
      <protection locked="0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38" fillId="0" borderId="0" xfId="53" applyAlignment="1" applyProtection="1">
      <alignment horizontal="left"/>
      <protection/>
    </xf>
    <xf numFmtId="0" fontId="0" fillId="0" borderId="0" xfId="0" applyFont="1" applyAlignment="1">
      <alignment vertical="center"/>
    </xf>
    <xf numFmtId="0" fontId="49" fillId="0" borderId="0" xfId="0" applyFont="1" applyAlignment="1">
      <alignment horizontal="right"/>
    </xf>
    <xf numFmtId="0" fontId="2" fillId="0" borderId="10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0</xdr:col>
      <xdr:colOff>2295525</xdr:colOff>
      <xdr:row>1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utoblog.xprize.org/axp/2009/08/calculating-mpge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="85" zoomScaleNormal="85" zoomScalePageLayoutView="0" workbookViewId="0" topLeftCell="A1">
      <selection activeCell="D12" sqref="D12"/>
    </sheetView>
  </sheetViews>
  <sheetFormatPr defaultColWidth="9.140625" defaultRowHeight="15"/>
  <cols>
    <col min="1" max="1" width="34.7109375" style="0" customWidth="1"/>
    <col min="2" max="2" width="10.140625" style="0" customWidth="1"/>
    <col min="3" max="3" width="11.28125" style="0" customWidth="1"/>
    <col min="4" max="4" width="11.57421875" style="0" customWidth="1"/>
    <col min="5" max="6" width="13.8515625" style="0" customWidth="1"/>
    <col min="7" max="7" width="15.57421875" style="0" customWidth="1"/>
  </cols>
  <sheetData>
    <row r="1" spans="2:8" ht="36.75" customHeight="1">
      <c r="B1" s="36" t="s">
        <v>40</v>
      </c>
      <c r="D1" s="34"/>
      <c r="G1" s="34"/>
      <c r="H1" s="34"/>
    </row>
    <row r="2" spans="2:10" ht="17.25" customHeight="1">
      <c r="B2" s="35" t="s">
        <v>41</v>
      </c>
      <c r="D2" s="34"/>
      <c r="E2" s="34"/>
      <c r="F2" s="34"/>
      <c r="G2" s="39"/>
      <c r="H2" s="34"/>
      <c r="J2" s="35"/>
    </row>
    <row r="3" spans="1:2" ht="15.75">
      <c r="A3" s="40" t="s">
        <v>46</v>
      </c>
      <c r="B3" s="38" t="s">
        <v>45</v>
      </c>
    </row>
    <row r="4" spans="1:2" ht="15">
      <c r="A4" s="24"/>
      <c r="B4" s="38"/>
    </row>
    <row r="5" ht="15.75">
      <c r="A5" s="37" t="s">
        <v>23</v>
      </c>
    </row>
    <row r="7" spans="1:7" ht="51">
      <c r="A7" s="41" t="s">
        <v>18</v>
      </c>
      <c r="B7" s="41" t="s">
        <v>0</v>
      </c>
      <c r="C7" s="41" t="s">
        <v>1</v>
      </c>
      <c r="D7" s="41" t="s">
        <v>19</v>
      </c>
      <c r="E7" s="41" t="s">
        <v>2</v>
      </c>
      <c r="F7" s="41" t="s">
        <v>47</v>
      </c>
      <c r="G7" s="41" t="s">
        <v>22</v>
      </c>
    </row>
    <row r="8" spans="2:7" ht="15">
      <c r="B8" s="1" t="s">
        <v>3</v>
      </c>
      <c r="C8" s="1" t="s">
        <v>4</v>
      </c>
      <c r="D8" s="20">
        <v>1</v>
      </c>
      <c r="E8" s="2">
        <v>116090</v>
      </c>
      <c r="F8" s="42">
        <f>D8*E8/$E$8</f>
        <v>1</v>
      </c>
      <c r="G8" s="2">
        <f aca="true" t="shared" si="0" ref="G8:G18">D8*E8</f>
        <v>116090</v>
      </c>
    </row>
    <row r="9" spans="2:7" ht="15">
      <c r="B9" s="1" t="s">
        <v>5</v>
      </c>
      <c r="C9" s="1" t="s">
        <v>6</v>
      </c>
      <c r="D9" s="20">
        <v>0</v>
      </c>
      <c r="E9" s="2">
        <v>3412</v>
      </c>
      <c r="F9" s="42">
        <f>D9*E9/$E$8</f>
        <v>0</v>
      </c>
      <c r="G9" s="2">
        <f>D9*E9</f>
        <v>0</v>
      </c>
    </row>
    <row r="10" spans="2:7" ht="15">
      <c r="B10" s="1" t="s">
        <v>7</v>
      </c>
      <c r="C10" s="1" t="s">
        <v>4</v>
      </c>
      <c r="D10" s="20">
        <v>0</v>
      </c>
      <c r="E10" s="2">
        <v>129487.84757606639</v>
      </c>
      <c r="F10" s="42">
        <f aca="true" t="shared" si="1" ref="F10:F18">D10*E10/$E$8</f>
        <v>0</v>
      </c>
      <c r="G10" s="2">
        <f t="shared" si="0"/>
        <v>0</v>
      </c>
    </row>
    <row r="11" spans="2:7" ht="15">
      <c r="B11" s="1" t="s">
        <v>8</v>
      </c>
      <c r="C11" s="1" t="s">
        <v>4</v>
      </c>
      <c r="D11" s="20">
        <v>0</v>
      </c>
      <c r="E11" s="2">
        <v>119550</v>
      </c>
      <c r="F11" s="42">
        <f t="shared" si="1"/>
        <v>0</v>
      </c>
      <c r="G11" s="2">
        <f t="shared" si="0"/>
        <v>0</v>
      </c>
    </row>
    <row r="12" spans="2:7" ht="15">
      <c r="B12" s="1" t="s">
        <v>9</v>
      </c>
      <c r="C12" s="1" t="s">
        <v>4</v>
      </c>
      <c r="D12" s="20">
        <v>0</v>
      </c>
      <c r="E12" s="2">
        <v>76330</v>
      </c>
      <c r="F12" s="42">
        <f t="shared" si="1"/>
        <v>0</v>
      </c>
      <c r="G12" s="2">
        <f t="shared" si="0"/>
        <v>0</v>
      </c>
    </row>
    <row r="13" spans="2:7" ht="15">
      <c r="B13" s="3" t="s">
        <v>10</v>
      </c>
      <c r="C13" s="3" t="s">
        <v>4</v>
      </c>
      <c r="D13" s="20">
        <v>0</v>
      </c>
      <c r="E13" s="2">
        <v>82000</v>
      </c>
      <c r="F13" s="42">
        <f t="shared" si="1"/>
        <v>0</v>
      </c>
      <c r="G13" s="2">
        <f t="shared" si="0"/>
        <v>0</v>
      </c>
    </row>
    <row r="14" spans="2:7" ht="15">
      <c r="B14" s="1" t="s">
        <v>11</v>
      </c>
      <c r="C14" s="4" t="s">
        <v>12</v>
      </c>
      <c r="D14" s="20">
        <v>0</v>
      </c>
      <c r="E14" s="2">
        <v>983</v>
      </c>
      <c r="F14" s="42">
        <f t="shared" si="1"/>
        <v>0</v>
      </c>
      <c r="G14" s="2">
        <f t="shared" si="0"/>
        <v>0</v>
      </c>
    </row>
    <row r="15" spans="2:7" ht="15">
      <c r="B15" s="1" t="s">
        <v>13</v>
      </c>
      <c r="C15" s="1" t="s">
        <v>12</v>
      </c>
      <c r="D15" s="20">
        <v>0</v>
      </c>
      <c r="E15" s="2">
        <v>289</v>
      </c>
      <c r="F15" s="42">
        <f t="shared" si="1"/>
        <v>0</v>
      </c>
      <c r="G15" s="2">
        <f t="shared" si="0"/>
        <v>0</v>
      </c>
    </row>
    <row r="16" spans="2:7" ht="15">
      <c r="B16" s="1" t="s">
        <v>14</v>
      </c>
      <c r="C16" s="1" t="s">
        <v>4</v>
      </c>
      <c r="D16" s="20">
        <v>0</v>
      </c>
      <c r="E16" s="2">
        <v>30500</v>
      </c>
      <c r="F16" s="42">
        <f t="shared" si="1"/>
        <v>0</v>
      </c>
      <c r="G16" s="2">
        <f t="shared" si="0"/>
        <v>0</v>
      </c>
    </row>
    <row r="17" spans="2:7" ht="15">
      <c r="B17" s="1" t="s">
        <v>15</v>
      </c>
      <c r="C17" s="1" t="s">
        <v>4</v>
      </c>
      <c r="D17" s="20">
        <v>0</v>
      </c>
      <c r="E17" s="2">
        <v>84950</v>
      </c>
      <c r="F17" s="42">
        <f t="shared" si="1"/>
        <v>0</v>
      </c>
      <c r="G17" s="2">
        <f t="shared" si="0"/>
        <v>0</v>
      </c>
    </row>
    <row r="18" spans="2:7" ht="15">
      <c r="B18" s="3" t="s">
        <v>16</v>
      </c>
      <c r="C18" s="3" t="s">
        <v>4</v>
      </c>
      <c r="D18" s="20">
        <v>0</v>
      </c>
      <c r="E18" s="2">
        <v>57250</v>
      </c>
      <c r="F18" s="42">
        <f t="shared" si="1"/>
        <v>0</v>
      </c>
      <c r="G18" s="2">
        <f t="shared" si="0"/>
        <v>0</v>
      </c>
    </row>
    <row r="19" spans="2:7" ht="15">
      <c r="B19" s="5" t="s">
        <v>17</v>
      </c>
      <c r="C19" s="5" t="s">
        <v>4</v>
      </c>
      <c r="D19" s="20">
        <v>0</v>
      </c>
      <c r="E19" s="6">
        <v>0</v>
      </c>
      <c r="F19" s="43">
        <f>D19*E19/$E$8</f>
        <v>0</v>
      </c>
      <c r="G19" s="6">
        <f>D19*E19</f>
        <v>0</v>
      </c>
    </row>
    <row r="21" spans="1:10" ht="15">
      <c r="A21" s="32" t="s">
        <v>20</v>
      </c>
      <c r="B21" s="20">
        <v>100</v>
      </c>
      <c r="J21" s="2"/>
    </row>
    <row r="22" spans="1:16" ht="15">
      <c r="A22" s="32" t="s">
        <v>21</v>
      </c>
      <c r="B22" s="8">
        <f>B21*VLOOKUP("gasoline",B8:E19,4,FALSE)/SUM(G8:G19)</f>
        <v>100</v>
      </c>
      <c r="P22" t="s">
        <v>38</v>
      </c>
    </row>
    <row r="24" spans="1:2" ht="15">
      <c r="A24" s="24" t="s">
        <v>28</v>
      </c>
      <c r="B24" s="21" t="s">
        <v>29</v>
      </c>
    </row>
    <row r="25" spans="2:10" ht="15">
      <c r="B25" s="21" t="s">
        <v>31</v>
      </c>
      <c r="C25" s="23"/>
      <c r="D25" s="23"/>
      <c r="E25" s="23"/>
      <c r="F25" s="23"/>
      <c r="G25" s="23"/>
      <c r="H25" s="23"/>
      <c r="I25" s="23"/>
      <c r="J25" s="23"/>
    </row>
    <row r="26" spans="2:10" ht="15">
      <c r="B26" s="21" t="s">
        <v>32</v>
      </c>
      <c r="C26" s="23"/>
      <c r="D26" s="23"/>
      <c r="E26" s="23"/>
      <c r="F26" s="23"/>
      <c r="G26" s="23"/>
      <c r="H26" s="23"/>
      <c r="I26" s="23"/>
      <c r="J26" s="23"/>
    </row>
    <row r="27" ht="15">
      <c r="B27" s="22"/>
    </row>
    <row r="28" ht="15.75">
      <c r="A28" s="37" t="s">
        <v>24</v>
      </c>
    </row>
    <row r="30" spans="1:7" ht="15">
      <c r="A30" s="19" t="s">
        <v>25</v>
      </c>
      <c r="B30" s="17">
        <v>150</v>
      </c>
      <c r="D30" s="11"/>
      <c r="E30" s="10"/>
      <c r="F30" s="10"/>
      <c r="G30" s="9"/>
    </row>
    <row r="31" spans="1:6" ht="15">
      <c r="A31" s="19" t="s">
        <v>26</v>
      </c>
      <c r="B31" s="17">
        <v>200</v>
      </c>
      <c r="E31" s="14"/>
      <c r="F31" s="14"/>
    </row>
    <row r="32" spans="1:6" ht="15">
      <c r="A32" s="7" t="s">
        <v>21</v>
      </c>
      <c r="B32" s="18">
        <f>VLOOKUP("gasoline",B8:E19,4,FALSE)/((VLOOKUP("gasoline",B8:E19,4,FALSE)/B30)+B31*VLOOKUP("electricity",B8:E19,4,FALSE)/1000)</f>
        <v>79.71389333943695</v>
      </c>
      <c r="C32" s="12"/>
      <c r="D32" s="15"/>
      <c r="E32" s="16"/>
      <c r="F32" s="16"/>
    </row>
    <row r="33" spans="3:6" ht="15">
      <c r="C33" s="12"/>
      <c r="D33" s="13"/>
      <c r="E33" s="14"/>
      <c r="F33" s="14"/>
    </row>
    <row r="34" spans="1:6" ht="15">
      <c r="A34" s="24" t="s">
        <v>27</v>
      </c>
      <c r="B34" s="12" t="s">
        <v>30</v>
      </c>
      <c r="C34" s="12"/>
      <c r="D34" s="13"/>
      <c r="E34" s="14"/>
      <c r="F34" s="14"/>
    </row>
    <row r="36" ht="15.75">
      <c r="A36" s="37" t="s">
        <v>42</v>
      </c>
    </row>
    <row r="38" spans="1:2" ht="15">
      <c r="A38" s="24" t="s">
        <v>33</v>
      </c>
      <c r="B38" s="20">
        <v>8</v>
      </c>
    </row>
    <row r="39" spans="1:2" ht="15">
      <c r="A39" s="24" t="s">
        <v>43</v>
      </c>
      <c r="B39" s="33">
        <v>0.85</v>
      </c>
    </row>
    <row r="40" ht="15">
      <c r="B40" s="26"/>
    </row>
    <row r="41" spans="2:4" ht="60">
      <c r="B41" s="30" t="s">
        <v>37</v>
      </c>
      <c r="C41" s="30" t="s">
        <v>39</v>
      </c>
      <c r="D41" s="30" t="s">
        <v>44</v>
      </c>
    </row>
    <row r="42" spans="1:9" ht="15">
      <c r="A42" s="31" t="s">
        <v>34</v>
      </c>
      <c r="B42" s="28">
        <f>110*15*B38/1000</f>
        <v>13.2</v>
      </c>
      <c r="C42" s="28">
        <f>B39*B42</f>
        <v>11.219999999999999</v>
      </c>
      <c r="D42" s="28">
        <f>(C42*VLOOKUP("electricity",B8:E19,4,FALSE))/VLOOKUP("gasoline",B8:E19,4,FALSE)</f>
        <v>0.3297669049875097</v>
      </c>
      <c r="I42" s="29"/>
    </row>
    <row r="43" spans="1:4" ht="15">
      <c r="A43" s="31" t="s">
        <v>35</v>
      </c>
      <c r="B43" s="28">
        <f>220*15*B38/1000</f>
        <v>26.4</v>
      </c>
      <c r="C43" s="28">
        <f>B39*B43</f>
        <v>22.439999999999998</v>
      </c>
      <c r="D43" s="28">
        <f>(C43*VLOOKUP("electricity",B8:E19,4,FALSE))/VLOOKUP("gasoline",B8:E19,4,FALSE)</f>
        <v>0.6595338099750194</v>
      </c>
    </row>
    <row r="44" spans="1:4" ht="15">
      <c r="A44" s="24" t="s">
        <v>36</v>
      </c>
      <c r="B44" s="28">
        <f>240*75*B38/1000</f>
        <v>144</v>
      </c>
      <c r="C44" s="28">
        <f>B39*B44</f>
        <v>122.39999999999999</v>
      </c>
      <c r="D44" s="28">
        <f>(C44*VLOOKUP("electricity",B8:E19,4,FALSE))/VLOOKUP("gasoline",B8:E19,4,FALSE)</f>
        <v>3.5974571453182875</v>
      </c>
    </row>
    <row r="45" ht="15">
      <c r="D45" s="25"/>
    </row>
    <row r="49" ht="15">
      <c r="D49" s="27"/>
    </row>
  </sheetData>
  <sheetProtection sheet="1" objects="1" scenarios="1"/>
  <hyperlinks>
    <hyperlink ref="B3" r:id="rId1" display="http://autoblog.xprize.org/axp/2009/08/calculating-mpge.html "/>
  </hyperlinks>
  <printOptions/>
  <pageMargins left="0.7" right="0.7" top="0.75" bottom="0.75" header="0.3" footer="0.3"/>
  <pageSetup horizontalDpi="1200" verticalDpi="12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2009-08-21T14:57:07Z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